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1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C:\IVN\"/>
    </mc:Choice>
  </mc:AlternateContent>
  <bookViews>
    <workbookView xWindow="0" yWindow="0" windowWidth="25200" windowHeight="11850" tabRatio="643"/>
  </bookViews>
  <sheets>
    <sheet name="GV-Berechnung-Gülleanfall" sheetId="2" r:id="rId1"/>
    <sheet name="Mist- Trockenkotanfall" sheetId="4" r:id="rId2"/>
    <sheet name="förderfähiger Anteil" sheetId="5" r:id="rId3"/>
    <sheet name="Finanzierungsplan" sheetId="6" r:id="rId4"/>
    <sheet name="Ranking" sheetId="7" r:id="rId5"/>
    <sheet name="Stammdaten-Tierhaltung" sheetId="3" r:id="rId6"/>
  </sheets>
  <definedNames>
    <definedName name="BImSchG">'Stammdaten-Tierhaltung'!#REF!</definedName>
    <definedName name="_xlnm.Print_Titles" localSheetId="5">'Stammdaten-Tierhaltung'!$1:$4</definedName>
    <definedName name="Gülleanfall">'Stammdaten-Tierhaltung'!$B$5:$B$68</definedName>
    <definedName name="GVE">'Stammdaten-Tierhaltung'!$F$5:$F$68</definedName>
    <definedName name="Jaucheanfall">'Stammdaten-Tierhaltung'!$C$5:$C$68</definedName>
    <definedName name="Mistanfall">'Stammdaten-Tierhaltung'!$D$5:$D$68</definedName>
    <definedName name="MistDichte">'Stammdaten-Tierhaltung'!$E$5:$E$68</definedName>
    <definedName name="Tierart">'Stammdaten-Tierhaltung'!$A$5:$A$68</definedName>
    <definedName name="Weide">'GV-Berechnung-Gülleanfall'!$V$4:$V$6</definedName>
  </definedNames>
  <calcPr calcId="162913"/>
</workbook>
</file>

<file path=xl/calcChain.xml><?xml version="1.0" encoding="utf-8"?>
<calcChain xmlns="http://schemas.openxmlformats.org/spreadsheetml/2006/main">
  <c r="T16" i="7" l="1"/>
  <c r="T15" i="7"/>
  <c r="T14" i="7"/>
  <c r="Y32" i="2" l="1"/>
  <c r="Y33" i="2"/>
  <c r="Y34" i="2"/>
  <c r="Y31" i="2"/>
  <c r="Q15" i="6" l="1"/>
  <c r="Q16" i="6"/>
  <c r="H19" i="6"/>
  <c r="D19" i="6"/>
  <c r="K12" i="6"/>
  <c r="K13" i="6"/>
  <c r="K14" i="6"/>
  <c r="Q14" i="6" s="1"/>
  <c r="K15" i="6"/>
  <c r="K16" i="6"/>
  <c r="K17" i="6"/>
  <c r="Q17" i="6" s="1"/>
  <c r="T17" i="7" s="1"/>
  <c r="K19" i="6" l="1"/>
  <c r="O9" i="7"/>
  <c r="P9" i="7"/>
  <c r="Q9" i="7"/>
  <c r="R9" i="7"/>
  <c r="E21" i="7"/>
  <c r="E20" i="7"/>
  <c r="B55" i="2"/>
  <c r="P35" i="6" l="1"/>
  <c r="L60" i="5"/>
  <c r="M49" i="7"/>
  <c r="N9" i="7" l="1"/>
  <c r="M9" i="7"/>
  <c r="L9" i="7"/>
  <c r="K9" i="7"/>
  <c r="J9" i="7"/>
  <c r="I9" i="7"/>
  <c r="A5" i="7"/>
  <c r="A4" i="6"/>
  <c r="K8" i="6"/>
  <c r="L8" i="6"/>
  <c r="M8" i="6"/>
  <c r="N8" i="6"/>
  <c r="O8" i="6"/>
  <c r="P8" i="6"/>
  <c r="Q8" i="6"/>
  <c r="R8" i="6"/>
  <c r="S8" i="6"/>
  <c r="J8" i="6"/>
  <c r="C19" i="6" l="1"/>
  <c r="A5" i="5" l="1"/>
  <c r="R9" i="5"/>
  <c r="Q9" i="5"/>
  <c r="P9" i="5"/>
  <c r="O9" i="5"/>
  <c r="N9" i="5"/>
  <c r="M9" i="5"/>
  <c r="L9" i="5"/>
  <c r="K9" i="5"/>
  <c r="I8" i="4"/>
  <c r="J8" i="4"/>
  <c r="R8" i="4"/>
  <c r="K8" i="4"/>
  <c r="L8" i="4"/>
  <c r="M8" i="4"/>
  <c r="N8" i="4"/>
  <c r="O8" i="4"/>
  <c r="J9" i="5"/>
  <c r="I9" i="5"/>
  <c r="B21" i="5"/>
  <c r="B35" i="5"/>
  <c r="F28" i="4"/>
  <c r="F29" i="4" s="1"/>
  <c r="D23" i="5"/>
  <c r="A14" i="5"/>
  <c r="B36" i="5" l="1"/>
  <c r="B37" i="5" s="1"/>
  <c r="P32" i="2" l="1"/>
  <c r="P33" i="2"/>
  <c r="P34" i="2"/>
  <c r="M32" i="2"/>
  <c r="M33" i="2"/>
  <c r="M34" i="2"/>
  <c r="M31" i="2"/>
  <c r="P31" i="2"/>
  <c r="AA16" i="2"/>
  <c r="AA17" i="2"/>
  <c r="AA18" i="2"/>
  <c r="AA19" i="2"/>
  <c r="AA20" i="2"/>
  <c r="AA21" i="2"/>
  <c r="AA22" i="2"/>
  <c r="AA23" i="2"/>
  <c r="AA24" i="2"/>
  <c r="AA15" i="2"/>
  <c r="M64" i="4" l="1"/>
  <c r="B14" i="4"/>
  <c r="B15" i="4"/>
  <c r="B16" i="4"/>
  <c r="B17" i="4"/>
  <c r="B18" i="4"/>
  <c r="B19" i="4"/>
  <c r="B20" i="4"/>
  <c r="B21" i="4"/>
  <c r="B22" i="4"/>
  <c r="B13" i="4"/>
  <c r="A4" i="4"/>
  <c r="P8" i="4"/>
  <c r="Q8" i="4"/>
  <c r="Z16" i="2"/>
  <c r="Z17" i="2"/>
  <c r="Z18" i="2"/>
  <c r="Z19" i="2"/>
  <c r="Z20" i="2"/>
  <c r="Z21" i="2"/>
  <c r="Z22" i="2"/>
  <c r="Z23" i="2"/>
  <c r="Z24" i="2"/>
  <c r="Z15" i="2"/>
  <c r="C21" i="4" l="1"/>
  <c r="F21" i="4" s="1"/>
  <c r="C20" i="4"/>
  <c r="F20" i="4" s="1"/>
  <c r="C19" i="4"/>
  <c r="F19" i="4" s="1"/>
  <c r="C13" i="4"/>
  <c r="C22" i="4"/>
  <c r="F22" i="4" s="1"/>
  <c r="C18" i="4"/>
  <c r="F18" i="4" s="1"/>
  <c r="C17" i="4"/>
  <c r="F17" i="4" s="1"/>
  <c r="C16" i="4"/>
  <c r="F16" i="4" s="1"/>
  <c r="C15" i="4"/>
  <c r="F15" i="4" s="1"/>
  <c r="C14" i="4"/>
  <c r="F14" i="4" s="1"/>
  <c r="Y54" i="2"/>
  <c r="B20" i="5" s="1"/>
  <c r="B22" i="5" s="1"/>
  <c r="C24" i="4" l="1"/>
  <c r="B38" i="5" s="1"/>
  <c r="B43" i="5" s="1"/>
  <c r="C23" i="4"/>
  <c r="B39" i="5" s="1"/>
  <c r="V38" i="5" s="1"/>
  <c r="F13" i="4"/>
  <c r="Y35" i="2"/>
  <c r="Y36" i="2"/>
  <c r="P35" i="2"/>
  <c r="F24" i="4" l="1"/>
  <c r="F23" i="4"/>
  <c r="V37" i="5"/>
  <c r="V39" i="5" s="1"/>
  <c r="Y37" i="2"/>
  <c r="B16" i="5"/>
  <c r="P36" i="2"/>
  <c r="M36" i="2"/>
  <c r="M35" i="2"/>
  <c r="C49" i="2"/>
  <c r="V19" i="2"/>
  <c r="W19" i="2"/>
  <c r="X19" i="2"/>
  <c r="J19" i="2" s="1"/>
  <c r="V20" i="2"/>
  <c r="W20" i="2"/>
  <c r="X20" i="2"/>
  <c r="J20" i="2" s="1"/>
  <c r="V21" i="2"/>
  <c r="W21" i="2"/>
  <c r="X21" i="2"/>
  <c r="J21" i="2" s="1"/>
  <c r="V22" i="2"/>
  <c r="W22" i="2"/>
  <c r="X22" i="2"/>
  <c r="J22" i="2" s="1"/>
  <c r="V23" i="2"/>
  <c r="W23" i="2"/>
  <c r="X23" i="2"/>
  <c r="J23" i="2" s="1"/>
  <c r="V24" i="2"/>
  <c r="W24" i="2"/>
  <c r="X24" i="2"/>
  <c r="J24" i="2" s="1"/>
  <c r="B15" i="2"/>
  <c r="B16" i="2"/>
  <c r="B17" i="2"/>
  <c r="B18" i="2"/>
  <c r="B19" i="2"/>
  <c r="B20" i="2"/>
  <c r="B21" i="2"/>
  <c r="B22" i="2"/>
  <c r="B23" i="2"/>
  <c r="B24" i="2"/>
  <c r="A15" i="2"/>
  <c r="A13" i="4" s="1"/>
  <c r="A16" i="2"/>
  <c r="A14" i="4" s="1"/>
  <c r="A17" i="2"/>
  <c r="A15" i="4" s="1"/>
  <c r="A18" i="2"/>
  <c r="A16" i="4" s="1"/>
  <c r="A19" i="2"/>
  <c r="A17" i="4" s="1"/>
  <c r="A20" i="2"/>
  <c r="A18" i="4" s="1"/>
  <c r="A21" i="2"/>
  <c r="A19" i="4" s="1"/>
  <c r="A22" i="2"/>
  <c r="A20" i="4" s="1"/>
  <c r="A23" i="2"/>
  <c r="A21" i="4" s="1"/>
  <c r="A24" i="2"/>
  <c r="A22" i="4" s="1"/>
  <c r="W16" i="2"/>
  <c r="X16" i="2"/>
  <c r="J16" i="2" s="1"/>
  <c r="W17" i="2"/>
  <c r="X17" i="2"/>
  <c r="J17" i="2" s="1"/>
  <c r="W18" i="2"/>
  <c r="X18" i="2"/>
  <c r="J18" i="2" s="1"/>
  <c r="X15" i="2"/>
  <c r="J15" i="2" s="1"/>
  <c r="W15" i="2"/>
  <c r="V16" i="2"/>
  <c r="Y16" i="2" s="1"/>
  <c r="V17" i="2"/>
  <c r="V18" i="2"/>
  <c r="V15" i="2"/>
  <c r="Y15" i="2" l="1"/>
  <c r="Y17" i="2"/>
  <c r="M22" i="2"/>
  <c r="Y21" i="2"/>
  <c r="Y18" i="2"/>
  <c r="Y23" i="2"/>
  <c r="Y19" i="2"/>
  <c r="Y24" i="2"/>
  <c r="Y20" i="2"/>
  <c r="Y22" i="2"/>
  <c r="P23" i="2"/>
  <c r="P19" i="2"/>
  <c r="P22" i="2"/>
  <c r="P20" i="2"/>
  <c r="P18" i="2"/>
  <c r="P17" i="2"/>
  <c r="M16" i="2"/>
  <c r="P15" i="2"/>
  <c r="P24" i="2"/>
  <c r="P16" i="2"/>
  <c r="M17" i="2"/>
  <c r="M20" i="2"/>
  <c r="M19" i="2"/>
  <c r="M23" i="2"/>
  <c r="M21" i="2"/>
  <c r="M18" i="2"/>
  <c r="P21" i="2"/>
  <c r="M24" i="2"/>
  <c r="J25" i="2"/>
  <c r="X45" i="2" s="1"/>
  <c r="M15" i="2"/>
  <c r="B17" i="5" l="1"/>
  <c r="E19" i="7"/>
  <c r="F22" i="7" s="1"/>
  <c r="G45" i="2"/>
  <c r="Y26" i="2"/>
  <c r="O51" i="2" s="1"/>
  <c r="P26" i="2"/>
  <c r="P37" i="2" s="1"/>
  <c r="M26" i="2"/>
  <c r="M37" i="2" s="1"/>
  <c r="Y57" i="2" s="1"/>
  <c r="B41" i="5" l="1"/>
  <c r="B42" i="5" s="1"/>
  <c r="N13" i="6" s="1"/>
  <c r="Q13" i="6" s="1"/>
  <c r="B24" i="5"/>
  <c r="V24" i="5" s="1"/>
  <c r="R52" i="2"/>
  <c r="G52" i="2"/>
  <c r="O52" i="2"/>
  <c r="Y39" i="2"/>
  <c r="V30" i="5" l="1"/>
  <c r="B30" i="5" s="1"/>
  <c r="B23" i="5"/>
  <c r="Y55" i="2"/>
  <c r="Y58" i="2" s="1"/>
  <c r="O54" i="2" s="1"/>
  <c r="V33" i="5" l="1"/>
  <c r="B31" i="5" s="1"/>
  <c r="B28" i="5"/>
  <c r="V23" i="5"/>
  <c r="V25" i="5" s="1"/>
  <c r="B26" i="5" l="1"/>
  <c r="B27" i="5" s="1"/>
  <c r="N12" i="6" l="1"/>
  <c r="Q12" i="6" s="1"/>
  <c r="Q19" i="6" s="1"/>
  <c r="Q20" i="6" s="1"/>
  <c r="C27" i="6" s="1"/>
  <c r="T19" i="7" l="1"/>
  <c r="C28" i="6"/>
  <c r="V19" i="7" l="1"/>
  <c r="E14" i="7" s="1"/>
  <c r="U19" i="7"/>
  <c r="F14" i="7" s="1"/>
</calcChain>
</file>

<file path=xl/sharedStrings.xml><?xml version="1.0" encoding="utf-8"?>
<sst xmlns="http://schemas.openxmlformats.org/spreadsheetml/2006/main" count="331" uniqueCount="236">
  <si>
    <t>Jauche</t>
  </si>
  <si>
    <t>EU-Registriernummer</t>
  </si>
  <si>
    <t>Nation</t>
  </si>
  <si>
    <t>BL</t>
  </si>
  <si>
    <t>LK</t>
  </si>
  <si>
    <t>Betrieb</t>
  </si>
  <si>
    <t>Gülle</t>
  </si>
  <si>
    <t>Gemeinde</t>
  </si>
  <si>
    <t>Antragstellendes Unternehmen (Name, Vorname, ggf. Unternehmensbezeichnung)</t>
  </si>
  <si>
    <t>0</t>
  </si>
  <si>
    <t>Tierart</t>
  </si>
  <si>
    <t>Stall</t>
  </si>
  <si>
    <t>Weide</t>
  </si>
  <si>
    <t>Tagweide</t>
  </si>
  <si>
    <t>--</t>
  </si>
  <si>
    <t>Junghennen</t>
  </si>
  <si>
    <t>Einstreumenge</t>
  </si>
  <si>
    <t>Menge</t>
  </si>
  <si>
    <t>Anzahl</t>
  </si>
  <si>
    <t>hoch</t>
  </si>
  <si>
    <t>Mist / Jauche</t>
  </si>
  <si>
    <t>9 Monate</t>
  </si>
  <si>
    <r>
      <t>m</t>
    </r>
    <r>
      <rPr>
        <vertAlign val="superscript"/>
        <sz val="10"/>
        <rFont val="Arial"/>
        <family val="2"/>
      </rPr>
      <t>3</t>
    </r>
  </si>
  <si>
    <t>GVE</t>
  </si>
  <si>
    <t>6 Monate</t>
  </si>
  <si>
    <t>Anfall flüssiger Wirtschaftsdünger aus der Tierhaltung</t>
  </si>
  <si>
    <t>Summe GVE</t>
  </si>
  <si>
    <t>Oberflächenbezeichnung</t>
  </si>
  <si>
    <t>Fläche</t>
  </si>
  <si>
    <t>Lagerraumbedarf insgesamt</t>
  </si>
  <si>
    <t>m³</t>
  </si>
  <si>
    <t>Summe Lagerraum:</t>
  </si>
  <si>
    <t>Bezeichnung der Lagerstätte</t>
  </si>
  <si>
    <t>Lageplan</t>
  </si>
  <si>
    <t>Nummer</t>
  </si>
  <si>
    <t>ha LF</t>
  </si>
  <si>
    <t>Jungrinder weiblich (13 - 24 Monate)</t>
  </si>
  <si>
    <t>Kalb (0 - 6 Monate)</t>
  </si>
  <si>
    <t>Ferkelaufzucht (8 bis 28 kg)</t>
  </si>
  <si>
    <t>Netto-</t>
  </si>
  <si>
    <t>Sonstiges</t>
  </si>
  <si>
    <t>m³/Jahr</t>
  </si>
  <si>
    <t>Oberflächenwasser u. sonstige</t>
  </si>
  <si>
    <t>Niederschlagsmenge in mm /Jahr</t>
  </si>
  <si>
    <t>niedrig</t>
  </si>
  <si>
    <t>Tierhaltung</t>
  </si>
  <si>
    <r>
      <t>Aufstallung</t>
    </r>
    <r>
      <rPr>
        <vertAlign val="superscript"/>
        <sz val="10"/>
        <rFont val="Arial"/>
        <family val="2"/>
      </rPr>
      <t>1)</t>
    </r>
  </si>
  <si>
    <r>
      <t>Ø Jahresbestand</t>
    </r>
    <r>
      <rPr>
        <vertAlign val="superscript"/>
        <sz val="10"/>
        <rFont val="Arial"/>
        <family val="2"/>
      </rPr>
      <t>2)</t>
    </r>
  </si>
  <si>
    <r>
      <t>GVE</t>
    </r>
    <r>
      <rPr>
        <vertAlign val="superscript"/>
        <sz val="10"/>
        <rFont val="Arial"/>
        <family val="2"/>
      </rPr>
      <t>3)</t>
    </r>
  </si>
  <si>
    <r>
      <t>Lagerraumbedarf</t>
    </r>
    <r>
      <rPr>
        <vertAlign val="superscript"/>
        <sz val="10"/>
        <rFont val="Arial"/>
        <family val="2"/>
      </rPr>
      <t>4)</t>
    </r>
  </si>
  <si>
    <r>
      <t>Abwässer</t>
    </r>
    <r>
      <rPr>
        <vertAlign val="superscript"/>
        <sz val="10"/>
        <rFont val="Arial"/>
        <family val="2"/>
      </rPr>
      <t>5)</t>
    </r>
  </si>
  <si>
    <r>
      <t>Lagerkapazitätsberechnung</t>
    </r>
    <r>
      <rPr>
        <vertAlign val="superscript"/>
        <sz val="10"/>
        <rFont val="Arial"/>
        <family val="2"/>
      </rPr>
      <t>6)</t>
    </r>
  </si>
  <si>
    <r>
      <t>volumen</t>
    </r>
    <r>
      <rPr>
        <vertAlign val="superscript"/>
        <sz val="10"/>
        <rFont val="Arial"/>
        <family val="2"/>
      </rPr>
      <t>7)</t>
    </r>
  </si>
  <si>
    <t xml:space="preserve">6) Aufstellung aller Lagerstätten und evtl. Pachtbehälter mit Kennzeichnung im Lageplan </t>
  </si>
  <si>
    <r>
      <t>m</t>
    </r>
    <r>
      <rPr>
        <vertAlign val="superscript"/>
        <sz val="10"/>
        <rFont val="Arial"/>
        <family val="2"/>
      </rPr>
      <t>2</t>
    </r>
  </si>
  <si>
    <t>Berechnung der Großvieheinheiten und der Lagerkapazität</t>
  </si>
  <si>
    <t>landwirtschaftlich genutzte Fläche</t>
  </si>
  <si>
    <t>Milchkuh, Laufstall, 6000 kg Milch p.a.</t>
  </si>
  <si>
    <t>Milchkuh, Laufstall, 8000 kg Milch p.a.</t>
  </si>
  <si>
    <t>Milchkuh, Laufstall, 10000 kg Milch p.a.</t>
  </si>
  <si>
    <t>Milchkuh, Laufstall, 12000 kg Milch p.a.</t>
  </si>
  <si>
    <t>Milchkuh, Anbind., 12000 kg Milch p.a.</t>
  </si>
  <si>
    <t>Milchkuh, Anbind., 6000 kg Milch p.a.</t>
  </si>
  <si>
    <t>Milchkuh, Anbind., 8000 kg Milch p.a.</t>
  </si>
  <si>
    <t>Milchkuh, Anbind., 10000 kg Milch p.a.</t>
  </si>
  <si>
    <t>Mutterkuh 500 kg LM</t>
  </si>
  <si>
    <t>Mutterkuh 700 kg LM</t>
  </si>
  <si>
    <t>Mastbullen 750 kg (7 - 12 Monate)</t>
  </si>
  <si>
    <t>Mastbullen 750 kg (0 - 6 Monate)</t>
  </si>
  <si>
    <t>Mastbullen 675 kg (7 - 12 Monate)</t>
  </si>
  <si>
    <t>Mastbullen 675 kg (0 - 6 Monate)</t>
  </si>
  <si>
    <t>Mastbullen 675 kg (0 - 19 Monate)</t>
  </si>
  <si>
    <t>Mastbullen 750 kg (0 - 19 Monate)</t>
  </si>
  <si>
    <t>Mastbullen 675 kg (13 - 19 Monate)</t>
  </si>
  <si>
    <t>Mastbullen 750 kg (13 - 19 Monate)</t>
  </si>
  <si>
    <t>Jungrindermast, Fresser</t>
  </si>
  <si>
    <t>Jungrindermast, Kälbermast</t>
  </si>
  <si>
    <t>Jungrindermast, Rosa Kalbfleisch</t>
  </si>
  <si>
    <t xml:space="preserve">Sau mit Ferkel. bis 8 kg, 22 Ferkel </t>
  </si>
  <si>
    <t xml:space="preserve">Sau mit Ferkel. bis 8 kg, 25 Ferkel </t>
  </si>
  <si>
    <t xml:space="preserve">Sau mit Ferkel. bis 8 kg, 28 Ferkel </t>
  </si>
  <si>
    <t>Jungsaueneingliederung</t>
  </si>
  <si>
    <t>Erberhaltung</t>
  </si>
  <si>
    <t>Mastschwein</t>
  </si>
  <si>
    <t>Mastschwein, Brei-/Sensorfütterung</t>
  </si>
  <si>
    <t>Mastschwein, Flüssigfütterung</t>
  </si>
  <si>
    <t>Färsen über 24 Monate</t>
  </si>
  <si>
    <t>Jungrinder weiblich (7 - 12 Monate)</t>
  </si>
  <si>
    <t>für flüssige Wirtschaftsdünger</t>
  </si>
  <si>
    <t>%</t>
  </si>
  <si>
    <t>Anrechnung größer 12M</t>
  </si>
  <si>
    <t>Anrechnung kleiner 6M</t>
  </si>
  <si>
    <t>förderfähiger Lagerraum</t>
  </si>
  <si>
    <t>vorhandener Lagerraum</t>
  </si>
  <si>
    <t>Jungsauenaufzucht, 28 bis 115 kg LM</t>
  </si>
  <si>
    <t>m³ / Monat</t>
  </si>
  <si>
    <r>
      <t>Anzahl</t>
    </r>
    <r>
      <rPr>
        <vertAlign val="superscript"/>
        <sz val="10"/>
        <rFont val="Arial"/>
        <family val="2"/>
      </rPr>
      <t>1)</t>
    </r>
  </si>
  <si>
    <r>
      <t>Anfall in 12 Monaten:</t>
    </r>
    <r>
      <rPr>
        <b/>
        <vertAlign val="superscript"/>
        <sz val="10"/>
        <color theme="0"/>
        <rFont val="Arial"/>
        <family val="2"/>
      </rPr>
      <t>8)</t>
    </r>
  </si>
  <si>
    <r>
      <t>förderfähiger Anteil:</t>
    </r>
    <r>
      <rPr>
        <b/>
        <vertAlign val="superscript"/>
        <sz val="10"/>
        <color theme="0"/>
        <rFont val="Arial"/>
        <family val="2"/>
      </rPr>
      <t>9)</t>
    </r>
  </si>
  <si>
    <t>4) Gülle-/ Jaucheanfall auf Grundlage der Düngeverordnung 2017 incl. Reinigungs- und Prozesswasser</t>
  </si>
  <si>
    <t>Hähnchenmast, 2,6 kg Zuwachs/Tier</t>
  </si>
  <si>
    <t>Hähnchenmast, 2,3 kg Zuwachs/Tier</t>
  </si>
  <si>
    <t>Hähnchenmast, 1,85 kg Zuwachs/Tier</t>
  </si>
  <si>
    <t>Hähnchenmast, 1,55 kg Zuwachs/Tier</t>
  </si>
  <si>
    <t>Hähnchenmast, Elterntiere</t>
  </si>
  <si>
    <t xml:space="preserve">Legehennen </t>
  </si>
  <si>
    <t>Putenmast, Hähne bis 21 Wochen</t>
  </si>
  <si>
    <t>Putenmast, Hennen bis 16 Wochen</t>
  </si>
  <si>
    <t>Putenmast, Hähne ab der 6 Woche</t>
  </si>
  <si>
    <t>Putenmast, Hennen ab der 6 Woche</t>
  </si>
  <si>
    <t>Putenaufztucht gemischt bis 6 Woche</t>
  </si>
  <si>
    <t>Reitpferd</t>
  </si>
  <si>
    <t>Zuchtstute</t>
  </si>
  <si>
    <t>Aufzuchtpferd, 6.-36. Monat</t>
  </si>
  <si>
    <t>Pony</t>
  </si>
  <si>
    <t>Schaf mit Nachzucht, 1,5 Lämmer/Jahr</t>
  </si>
  <si>
    <t>Schaf mit Nachzucht, 1,1 Lämmer/Jahr</t>
  </si>
  <si>
    <t>Ziege mit Nachzucht</t>
  </si>
  <si>
    <t>GV-Schlüssel</t>
  </si>
  <si>
    <t>gem. DüV</t>
  </si>
  <si>
    <t>Anfall Volumen
anfall
m³/Stallpl.</t>
  </si>
  <si>
    <t>Mist /</t>
  </si>
  <si>
    <t>Trockenkot</t>
  </si>
  <si>
    <t>Lagerungs-</t>
  </si>
  <si>
    <t>dichte - Mist</t>
  </si>
  <si>
    <t>m³ / t</t>
  </si>
  <si>
    <t>12 Monate</t>
  </si>
  <si>
    <t>Mist</t>
  </si>
  <si>
    <t>Dichte</t>
  </si>
  <si>
    <t>t / Monat</t>
  </si>
  <si>
    <t>Anfall 12 Monate</t>
  </si>
  <si>
    <t>3) GV - Schlüssel gem. DüV vom 27.05.2017</t>
  </si>
  <si>
    <t>Berechnungsgrundlage:</t>
  </si>
  <si>
    <t>ha</t>
  </si>
  <si>
    <t>Besatzdichte</t>
  </si>
  <si>
    <t>GV/ha</t>
  </si>
  <si>
    <t>Lager für flüssige Wirtschaftsdünger</t>
  </si>
  <si>
    <t>vorhandene Lagerstätten:</t>
  </si>
  <si>
    <t>geplante Lagerstätte:</t>
  </si>
  <si>
    <t>Summe Lagerstätten:</t>
  </si>
  <si>
    <t>max. Wirtschaftsdüngerlagerung:</t>
  </si>
  <si>
    <t xml:space="preserve">m³ </t>
  </si>
  <si>
    <t>Mindestlagerkapazität:</t>
  </si>
  <si>
    <t>förderfähige Lagerstätte:</t>
  </si>
  <si>
    <t>förderfähiger Anteil:</t>
  </si>
  <si>
    <t>Anfall aus eig. Tierhaltung</t>
  </si>
  <si>
    <t>m³ (Anfall 12 Monate ggf. mit Oberflächenwasser)</t>
  </si>
  <si>
    <t>Aufnahmemenge bei Düngerlager:</t>
  </si>
  <si>
    <t>Lager für Mist/Trockenkot</t>
  </si>
  <si>
    <t>m³ /</t>
  </si>
  <si>
    <t>m²</t>
  </si>
  <si>
    <t>m³ (max. 12 Monate Lagerkapazität)</t>
  </si>
  <si>
    <t>m³ (2 Monate)</t>
  </si>
  <si>
    <t>Bei Mistlagern als Düngerlager können max. 4t Mist/ha ausgebracht werden. Es ist eine individuelle Berechnung der</t>
  </si>
  <si>
    <t>max. Größe, je nach Mistart, erforderlich.</t>
  </si>
  <si>
    <t>WDL für Tierhaltung</t>
  </si>
  <si>
    <t>WDL als Düngerlager</t>
  </si>
  <si>
    <t>Anrechnung max.</t>
  </si>
  <si>
    <t>Anerchnung min.</t>
  </si>
  <si>
    <t>Anrechnung min.</t>
  </si>
  <si>
    <t>geplante Lagerstätte</t>
  </si>
  <si>
    <t>Lagerkapazitätsberechnung</t>
  </si>
  <si>
    <r>
      <t>vorhandene Lagerkapazität</t>
    </r>
    <r>
      <rPr>
        <vertAlign val="superscript"/>
        <sz val="10"/>
        <rFont val="Arial"/>
        <family val="2"/>
      </rPr>
      <t>4)</t>
    </r>
  </si>
  <si>
    <t>Lagerkapazität insgesamt</t>
  </si>
  <si>
    <t>Anfall / Monat</t>
  </si>
  <si>
    <t>Monate</t>
  </si>
  <si>
    <t>Lagerkapazität:</t>
  </si>
  <si>
    <r>
      <t xml:space="preserve">Finanzierungsbedarf </t>
    </r>
    <r>
      <rPr>
        <b/>
        <vertAlign val="superscript"/>
        <sz val="11"/>
        <color theme="1"/>
        <rFont val="Arial"/>
        <family val="2"/>
      </rPr>
      <t>1)</t>
    </r>
  </si>
  <si>
    <t>EUR</t>
  </si>
  <si>
    <r>
      <t xml:space="preserve">Betreuung des Antragsverfahrens </t>
    </r>
    <r>
      <rPr>
        <vertAlign val="superscript"/>
        <sz val="10"/>
        <color theme="1"/>
        <rFont val="Arial"/>
        <family val="2"/>
      </rPr>
      <t>4)</t>
    </r>
  </si>
  <si>
    <r>
      <t xml:space="preserve">Baugenehmigung, Statikprüfung </t>
    </r>
    <r>
      <rPr>
        <vertAlign val="superscript"/>
        <sz val="10"/>
        <color theme="1"/>
        <rFont val="Arial"/>
        <family val="2"/>
      </rPr>
      <t>5)</t>
    </r>
  </si>
  <si>
    <t>Finanzierungsmittel</t>
  </si>
  <si>
    <t>Eigenkapital</t>
  </si>
  <si>
    <t>Eigenleistung</t>
  </si>
  <si>
    <t>Fremdkapital</t>
  </si>
  <si>
    <t>Fördermittel</t>
  </si>
  <si>
    <t xml:space="preserve">1) Auf Grundlage der Kostenaufstellung eines Architekten oder Angebote </t>
  </si>
  <si>
    <t>5) Behördliche Gebühren sind nicht förderfähig</t>
  </si>
  <si>
    <t>Investitions-volumen
 incl. MWSt.</t>
  </si>
  <si>
    <t>förderfähiger Betrag</t>
  </si>
  <si>
    <t>Gülleaufbereitungsanlagen</t>
  </si>
  <si>
    <t>2) die nach DüV. vorgeschriebene sowie Lagerkapazität über 12 Monate ist nicht förderfähig</t>
  </si>
  <si>
    <t>3) Einschl. Architektur- und Ingenieurleistungen, mit Ausnahme der Leistungsphase 9 (Objektbetreuung)</t>
  </si>
  <si>
    <r>
      <t>separater Gülle-/ Jauchebehälter</t>
    </r>
    <r>
      <rPr>
        <vertAlign val="superscript"/>
        <sz val="10"/>
        <color theme="1"/>
        <rFont val="Arial"/>
        <family val="2"/>
      </rPr>
      <t xml:space="preserve"> 3)</t>
    </r>
  </si>
  <si>
    <r>
      <t xml:space="preserve">Festmistplatte </t>
    </r>
    <r>
      <rPr>
        <vertAlign val="superscript"/>
        <sz val="10"/>
        <color theme="1"/>
        <rFont val="Arial"/>
        <family val="2"/>
      </rPr>
      <t>3)</t>
    </r>
  </si>
  <si>
    <r>
      <t xml:space="preserve">Abdeckung besteh. Lagerstätten </t>
    </r>
    <r>
      <rPr>
        <vertAlign val="superscript"/>
        <sz val="10"/>
        <rFont val="Arial"/>
        <family val="2"/>
      </rPr>
      <t>3)</t>
    </r>
  </si>
  <si>
    <t>4) Es sind max. 3.000,- EUR förderfähig (nur beim Bau separater Gülle-/ Jauchebehälter und Festmistplatten)</t>
  </si>
  <si>
    <t>digitale Landtechnik</t>
  </si>
  <si>
    <t>Förderung von Investitionen zur Verbesserung des Nährstoffeinsatzes (IVN)</t>
  </si>
  <si>
    <t>Gesamtflächen u. Nutzungsnachweis 2020</t>
  </si>
  <si>
    <t>Summe Ranking:</t>
  </si>
  <si>
    <t xml:space="preserve">Förderung von Investitionen zur Verbesserung </t>
  </si>
  <si>
    <t>des Nährstoffeinsatzes (IVN)</t>
  </si>
  <si>
    <t>Ranking</t>
  </si>
  <si>
    <t>Ermittlung der Bearbeitungs- und Bewilligungsreihenfolge:</t>
  </si>
  <si>
    <t>Teilbereich</t>
  </si>
  <si>
    <t>Summe</t>
  </si>
  <si>
    <t>Abdeckung besteh. Lagerstätten</t>
  </si>
  <si>
    <t>separate Wirtschaftsdüngerlager</t>
  </si>
  <si>
    <t>Schwerpunkt ist der Teilbereich:</t>
  </si>
  <si>
    <t>m³ (6 Monate)</t>
  </si>
  <si>
    <r>
      <t>Summe Finanzierungsmittel</t>
    </r>
    <r>
      <rPr>
        <b/>
        <vertAlign val="superscript"/>
        <sz val="10"/>
        <color theme="1"/>
        <rFont val="Arial"/>
        <family val="2"/>
      </rPr>
      <t xml:space="preserve"> 6)</t>
    </r>
  </si>
  <si>
    <t>6) Die Gesamtkosten und die Summe Finanzierungsmittel müssen übereinstimmen</t>
  </si>
  <si>
    <r>
      <t>Gesamtkosten</t>
    </r>
    <r>
      <rPr>
        <b/>
        <vertAlign val="superscript"/>
        <sz val="10"/>
        <color theme="1"/>
        <rFont val="Arial"/>
        <family val="2"/>
      </rPr>
      <t xml:space="preserve"> 6)</t>
    </r>
  </si>
  <si>
    <r>
      <t>Beschreibung des
 Teilvorhabens</t>
    </r>
    <r>
      <rPr>
        <sz val="9"/>
        <color theme="1"/>
        <rFont val="Arial"/>
        <family val="2"/>
      </rPr>
      <t xml:space="preserve"> 
(Ausführung, Größe, etc)</t>
    </r>
  </si>
  <si>
    <t>2) Mist-/ Trockenkotanfall auf Grundlage der Düngeverordnung 2017</t>
  </si>
  <si>
    <t>1) Bei Weidehaltung werden 7 Stallhaltungsmonate berücksichtigt.</t>
  </si>
  <si>
    <t>2) Bei Rinderhaltung Jahresdurchschnittsbestand aus HITier, sonst aus Buchführung etc.</t>
  </si>
  <si>
    <t>5) Oberflächen nicht abgedeckter Lager (Mistplatten, Güllebehälter). Alle sonstigen Flächen, wenn eingeleitet wird (Fahrsilo,</t>
  </si>
  <si>
    <t xml:space="preserve">    Hofbefestigung). Es werden 30% Verdunstung des Niederschlags berücksichtigt.</t>
  </si>
  <si>
    <t>4) Lageplan bzw. Beschreibung beifügen</t>
  </si>
  <si>
    <t>3) Bei Weidehaltung werden 7 Stallhaltungsmonate berücksichtigt</t>
  </si>
  <si>
    <r>
      <t>Anfall</t>
    </r>
    <r>
      <rPr>
        <vertAlign val="superscript"/>
        <sz val="10"/>
        <rFont val="Arial"/>
        <family val="2"/>
      </rPr>
      <t>2) 3)</t>
    </r>
  </si>
  <si>
    <t>Stapelhöhe m</t>
  </si>
  <si>
    <t>1) Ø Jahresbestand mit Mist bzw. Trockenkotanfall (aus GV-Berechnung, Spalten Mist / Jauche übernommen)</t>
  </si>
  <si>
    <r>
      <t xml:space="preserve">Beantragte Fördermittel </t>
    </r>
    <r>
      <rPr>
        <sz val="10"/>
        <color theme="1"/>
        <rFont val="Arial"/>
        <family val="2"/>
      </rPr>
      <t>(Fördersatz 35 %, max. 70.000,- EUR)</t>
    </r>
  </si>
  <si>
    <t>zusätzliche Flächen</t>
  </si>
  <si>
    <t>Ranking:</t>
  </si>
  <si>
    <t>Viehbesatz (GV/ha LF)</t>
  </si>
  <si>
    <r>
      <t>Junglandwirt:</t>
    </r>
    <r>
      <rPr>
        <vertAlign val="superscript"/>
        <sz val="11"/>
        <rFont val="Arial"/>
        <family val="2"/>
      </rPr>
      <t xml:space="preserve"> 1) 2)</t>
    </r>
  </si>
  <si>
    <r>
      <t>gasdichte Abdeckung:</t>
    </r>
    <r>
      <rPr>
        <vertAlign val="superscript"/>
        <sz val="11"/>
        <rFont val="Arial"/>
        <family val="2"/>
      </rPr>
      <t xml:space="preserve"> 1) 3)</t>
    </r>
  </si>
  <si>
    <t>1) zutreffendes ankreuzen</t>
  </si>
  <si>
    <t>2) Bei Junglandwirten weden 0,20 GV/ha abgezogen.</t>
  </si>
  <si>
    <t>3) Wird eine gasdichte Abdeckung errichtet, werden 0,30 GV/ha abgezogen.</t>
  </si>
  <si>
    <t>Berechnung der Fördermittel und Finanzierungsplan</t>
  </si>
  <si>
    <r>
      <t xml:space="preserve">Wirtschaftsdüngerlager Berechnung des förderfähigen Anteils </t>
    </r>
    <r>
      <rPr>
        <b/>
        <vertAlign val="superscript"/>
        <sz val="11"/>
        <rFont val="Arial"/>
        <family val="2"/>
      </rPr>
      <t>*</t>
    </r>
  </si>
  <si>
    <t>* Nur bei Maßnahmen zum Bau von Wirtschaftsdüngerlagern mit den Antragsunterlagen einzureichen.</t>
  </si>
  <si>
    <t xml:space="preserve">7) Bei Güllekellern u. abgedeckten Behältern sind 10 cm und bei offenen Behältern 20 cm von der Höhe als Freibord </t>
  </si>
  <si>
    <t xml:space="preserve">    abzuziehen</t>
  </si>
  <si>
    <r>
      <t xml:space="preserve">Berechnung des Mist- bzw. Trockenkotanfalls </t>
    </r>
    <r>
      <rPr>
        <b/>
        <vertAlign val="superscript"/>
        <sz val="12"/>
        <rFont val="Arial"/>
        <family val="2"/>
      </rPr>
      <t>*</t>
    </r>
  </si>
  <si>
    <t>*) Nur bei Maßnahmen zum Bau von Mist- bzw. Trockenkotlagern mit den Antragsunterlagen einreichen.</t>
  </si>
  <si>
    <t xml:space="preserve">nicht förderfähiger Betrag </t>
  </si>
  <si>
    <t xml:space="preserve"> nicht förderfähige MWSt.</t>
  </si>
  <si>
    <t xml:space="preserve">förderfähig. Investitions- volumen </t>
  </si>
  <si>
    <t>Stand: 11.11.2020</t>
  </si>
  <si>
    <r>
      <t xml:space="preserve">förderfähiger Anteil </t>
    </r>
    <r>
      <rPr>
        <vertAlign val="superscript"/>
        <sz val="9"/>
        <color theme="1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</si>
</sst>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"/>
    <numFmt numFmtId="165" formatCode="0;\-0;;@"/>
  </numFmts>
  <fonts count="3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0"/>
      <color theme="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vertAlign val="superscript"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auto="1"/>
      </left>
      <right/>
      <top style="hair">
        <color auto="1"/>
      </top>
      <bottom style="thin">
        <color indexed="64"/>
      </bottom>
      <diagonal style="thin">
        <color auto="1"/>
      </diagonal>
    </border>
    <border diagonalUp="1" diagonalDown="1">
      <left/>
      <right/>
      <top style="hair">
        <color auto="1"/>
      </top>
      <bottom style="thin">
        <color indexed="64"/>
      </bottom>
      <diagonal style="thin">
        <color auto="1"/>
      </diagonal>
    </border>
    <border diagonalUp="1" diagonalDown="1">
      <left/>
      <right style="thin">
        <color indexed="64"/>
      </right>
      <top style="hair">
        <color auto="1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5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8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5" fillId="0" borderId="2" xfId="0" applyFont="1" applyBorder="1" applyAlignment="1" applyProtection="1"/>
    <xf numFmtId="0" fontId="5" fillId="0" borderId="3" xfId="0" applyFont="1" applyBorder="1" applyAlignment="1" applyProtection="1"/>
    <xf numFmtId="0" fontId="5" fillId="0" borderId="4" xfId="0" applyFont="1" applyBorder="1" applyAlignment="1" applyProtection="1"/>
    <xf numFmtId="1" fontId="0" fillId="0" borderId="0" xfId="0" applyNumberFormat="1"/>
    <xf numFmtId="0" fontId="1" fillId="0" borderId="0" xfId="0" quotePrefix="1" applyFont="1"/>
    <xf numFmtId="0" fontId="3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4" fillId="0" borderId="0" xfId="0" applyFont="1" applyProtection="1"/>
    <xf numFmtId="49" fontId="3" fillId="0" borderId="1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1" fillId="0" borderId="7" xfId="0" applyFont="1" applyBorder="1" applyProtection="1"/>
    <xf numFmtId="0" fontId="1" fillId="0" borderId="3" xfId="0" applyFont="1" applyBorder="1" applyProtection="1"/>
    <xf numFmtId="1" fontId="0" fillId="0" borderId="3" xfId="0" applyNumberFormat="1" applyFill="1" applyBorder="1" applyAlignment="1" applyProtection="1">
      <alignment horizontal="right"/>
    </xf>
    <xf numFmtId="0" fontId="0" fillId="0" borderId="3" xfId="0" applyBorder="1" applyProtection="1"/>
    <xf numFmtId="0" fontId="0" fillId="0" borderId="4" xfId="0" applyBorder="1" applyProtection="1"/>
    <xf numFmtId="0" fontId="1" fillId="0" borderId="0" xfId="0" applyFont="1" applyProtection="1">
      <protection locked="0"/>
    </xf>
    <xf numFmtId="1" fontId="0" fillId="0" borderId="0" xfId="0" applyNumberFormat="1" applyProtection="1">
      <protection locked="0"/>
    </xf>
    <xf numFmtId="0" fontId="5" fillId="0" borderId="9" xfId="0" applyFont="1" applyBorder="1" applyProtection="1"/>
    <xf numFmtId="0" fontId="5" fillId="0" borderId="9" xfId="0" applyFont="1" applyBorder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1" fillId="0" borderId="2" xfId="0" applyFont="1" applyBorder="1"/>
    <xf numFmtId="0" fontId="0" fillId="0" borderId="3" xfId="0" applyBorder="1"/>
    <xf numFmtId="0" fontId="0" fillId="0" borderId="9" xfId="0" applyBorder="1"/>
    <xf numFmtId="0" fontId="5" fillId="0" borderId="2" xfId="0" applyFont="1" applyBorder="1"/>
    <xf numFmtId="0" fontId="0" fillId="0" borderId="16" xfId="0" applyBorder="1"/>
    <xf numFmtId="0" fontId="0" fillId="3" borderId="17" xfId="0" applyFill="1" applyBorder="1" applyAlignment="1" applyProtection="1">
      <alignment horizontal="left"/>
      <protection locked="0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 applyProtection="1">
      <alignment horizontal="left"/>
      <protection locked="0"/>
    </xf>
    <xf numFmtId="0" fontId="1" fillId="3" borderId="18" xfId="0" applyFont="1" applyFill="1" applyBorder="1" applyAlignment="1" applyProtection="1">
      <alignment horizontal="left"/>
      <protection locked="0"/>
    </xf>
    <xf numFmtId="0" fontId="0" fillId="0" borderId="5" xfId="0" applyBorder="1"/>
    <xf numFmtId="0" fontId="0" fillId="3" borderId="19" xfId="0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0" xfId="1"/>
    <xf numFmtId="0" fontId="2" fillId="0" borderId="0" xfId="1" applyFont="1" applyBorder="1"/>
    <xf numFmtId="0" fontId="1" fillId="0" borderId="0" xfId="1" applyAlignment="1"/>
    <xf numFmtId="164" fontId="12" fillId="0" borderId="0" xfId="2" applyNumberFormat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4" fillId="0" borderId="14" xfId="1" applyFont="1" applyBorder="1"/>
    <xf numFmtId="0" fontId="2" fillId="0" borderId="14" xfId="1" applyFont="1" applyBorder="1"/>
    <xf numFmtId="0" fontId="1" fillId="0" borderId="14" xfId="1" applyBorder="1"/>
    <xf numFmtId="0" fontId="1" fillId="0" borderId="15" xfId="1" applyBorder="1"/>
    <xf numFmtId="164" fontId="11" fillId="0" borderId="6" xfId="2" applyNumberFormat="1" applyFont="1" applyBorder="1" applyAlignment="1"/>
    <xf numFmtId="0" fontId="1" fillId="0" borderId="0" xfId="1" applyBorder="1" applyAlignment="1"/>
    <xf numFmtId="0" fontId="1" fillId="0" borderId="10" xfId="1" applyBorder="1" applyAlignment="1"/>
    <xf numFmtId="164" fontId="12" fillId="0" borderId="10" xfId="2" applyNumberFormat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164" fontId="11" fillId="0" borderId="7" xfId="2" applyNumberFormat="1" applyFont="1" applyBorder="1" applyAlignment="1">
      <alignment horizontal="center"/>
    </xf>
    <xf numFmtId="4" fontId="12" fillId="3" borderId="5" xfId="2" applyNumberFormat="1" applyFont="1" applyFill="1" applyBorder="1" applyAlignment="1" applyProtection="1">
      <alignment horizontal="right"/>
      <protection locked="0"/>
    </xf>
    <xf numFmtId="164" fontId="12" fillId="0" borderId="14" xfId="2" applyNumberFormat="1" applyFont="1" applyBorder="1" applyAlignment="1">
      <alignment horizontal="left"/>
    </xf>
    <xf numFmtId="164" fontId="12" fillId="0" borderId="15" xfId="2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4" fontId="12" fillId="0" borderId="20" xfId="2" applyNumberFormat="1" applyFont="1" applyBorder="1" applyAlignment="1">
      <alignment horizontal="left"/>
    </xf>
    <xf numFmtId="4" fontId="12" fillId="3" borderId="21" xfId="2" applyNumberFormat="1" applyFont="1" applyFill="1" applyBorder="1" applyAlignment="1" applyProtection="1">
      <alignment horizontal="right"/>
      <protection locked="0"/>
    </xf>
    <xf numFmtId="0" fontId="0" fillId="0" borderId="17" xfId="0" applyBorder="1" applyProtection="1"/>
    <xf numFmtId="0" fontId="1" fillId="0" borderId="19" xfId="0" applyFont="1" applyBorder="1" applyProtection="1"/>
    <xf numFmtId="0" fontId="1" fillId="0" borderId="6" xfId="0" quotePrefix="1" applyFont="1" applyBorder="1"/>
    <xf numFmtId="0" fontId="5" fillId="0" borderId="5" xfId="1" applyFont="1" applyBorder="1"/>
    <xf numFmtId="0" fontId="5" fillId="0" borderId="2" xfId="0" applyFont="1" applyBorder="1" applyProtection="1"/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5" fillId="0" borderId="6" xfId="0" applyFont="1" applyBorder="1"/>
    <xf numFmtId="0" fontId="0" fillId="3" borderId="22" xfId="0" applyFill="1" applyBorder="1" applyAlignment="1" applyProtection="1">
      <alignment horizontal="left"/>
      <protection locked="0"/>
    </xf>
    <xf numFmtId="0" fontId="0" fillId="0" borderId="23" xfId="0" applyBorder="1"/>
    <xf numFmtId="0" fontId="0" fillId="3" borderId="24" xfId="0" applyFill="1" applyBorder="1" applyAlignment="1" applyProtection="1">
      <alignment horizontal="left"/>
      <protection locked="0"/>
    </xf>
    <xf numFmtId="0" fontId="0" fillId="0" borderId="25" xfId="0" applyBorder="1"/>
    <xf numFmtId="0" fontId="0" fillId="0" borderId="7" xfId="0" applyBorder="1"/>
    <xf numFmtId="0" fontId="0" fillId="0" borderId="8" xfId="0" applyBorder="1"/>
    <xf numFmtId="0" fontId="1" fillId="3" borderId="2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0" fillId="3" borderId="26" xfId="0" applyFill="1" applyBorder="1" applyAlignment="1" applyProtection="1">
      <alignment horizontal="center"/>
      <protection locked="0"/>
    </xf>
    <xf numFmtId="0" fontId="8" fillId="0" borderId="0" xfId="0" applyFont="1"/>
    <xf numFmtId="0" fontId="10" fillId="0" borderId="0" xfId="0" applyFont="1" applyProtection="1"/>
    <xf numFmtId="0" fontId="7" fillId="0" borderId="0" xfId="0" applyFont="1" applyProtection="1"/>
    <xf numFmtId="0" fontId="5" fillId="0" borderId="0" xfId="0" applyFont="1"/>
    <xf numFmtId="0" fontId="0" fillId="0" borderId="0" xfId="0" applyBorder="1" applyProtection="1"/>
    <xf numFmtId="0" fontId="1" fillId="0" borderId="11" xfId="0" applyFont="1" applyBorder="1" applyAlignment="1">
      <alignment horizontal="center"/>
    </xf>
    <xf numFmtId="4" fontId="0" fillId="0" borderId="0" xfId="0" applyNumberFormat="1"/>
    <xf numFmtId="0" fontId="7" fillId="0" borderId="0" xfId="0" applyFont="1"/>
    <xf numFmtId="0" fontId="0" fillId="0" borderId="9" xfId="0" applyBorder="1" applyAlignment="1" applyProtection="1">
      <alignment horizontal="center"/>
    </xf>
    <xf numFmtId="0" fontId="0" fillId="0" borderId="2" xfId="0" applyBorder="1"/>
    <xf numFmtId="3" fontId="0" fillId="0" borderId="9" xfId="0" applyNumberFormat="1" applyBorder="1" applyAlignment="1">
      <alignment horizontal="right"/>
    </xf>
    <xf numFmtId="0" fontId="0" fillId="0" borderId="32" xfId="0" applyBorder="1"/>
    <xf numFmtId="3" fontId="0" fillId="0" borderId="6" xfId="0" applyNumberFormat="1" applyBorder="1" applyAlignment="1">
      <alignment horizontal="right"/>
    </xf>
    <xf numFmtId="4" fontId="13" fillId="0" borderId="0" xfId="0" applyNumberFormat="1" applyFont="1" applyProtection="1"/>
    <xf numFmtId="0" fontId="13" fillId="0" borderId="0" xfId="0" applyFont="1" applyBorder="1" applyProtection="1"/>
    <xf numFmtId="0" fontId="13" fillId="0" borderId="0" xfId="0" applyFont="1"/>
    <xf numFmtId="0" fontId="15" fillId="0" borderId="0" xfId="0" applyFont="1"/>
    <xf numFmtId="0" fontId="13" fillId="0" borderId="0" xfId="0" applyFont="1" applyProtection="1"/>
    <xf numFmtId="0" fontId="0" fillId="0" borderId="19" xfId="0" applyBorder="1"/>
    <xf numFmtId="3" fontId="0" fillId="0" borderId="19" xfId="0" applyNumberFormat="1" applyBorder="1" applyAlignment="1">
      <alignment horizontal="right"/>
    </xf>
    <xf numFmtId="0" fontId="0" fillId="4" borderId="9" xfId="0" applyFill="1" applyBorder="1"/>
    <xf numFmtId="0" fontId="1" fillId="4" borderId="5" xfId="0" applyFont="1" applyFill="1" applyBorder="1" applyAlignment="1">
      <alignment horizontal="center" wrapText="1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0" fillId="4" borderId="7" xfId="0" applyFill="1" applyBorder="1"/>
    <xf numFmtId="0" fontId="1" fillId="0" borderId="0" xfId="0" applyFont="1" applyAlignment="1" applyProtection="1">
      <alignment horizontal="right"/>
      <protection locked="0"/>
    </xf>
    <xf numFmtId="0" fontId="1" fillId="0" borderId="17" xfId="0" applyFont="1" applyBorder="1"/>
    <xf numFmtId="0" fontId="0" fillId="0" borderId="17" xfId="0" applyBorder="1"/>
    <xf numFmtId="0" fontId="0" fillId="0" borderId="19" xfId="0" applyFill="1" applyBorder="1"/>
    <xf numFmtId="0" fontId="0" fillId="0" borderId="17" xfId="0" applyFill="1" applyBorder="1"/>
    <xf numFmtId="0" fontId="1" fillId="0" borderId="17" xfId="0" quotePrefix="1" applyFont="1" applyBorder="1"/>
    <xf numFmtId="0" fontId="5" fillId="0" borderId="0" xfId="0" applyFont="1" applyBorder="1" applyAlignment="1" applyProtection="1">
      <alignment horizontal="left"/>
    </xf>
    <xf numFmtId="1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Protection="1">
      <protection locked="0"/>
    </xf>
    <xf numFmtId="0" fontId="0" fillId="0" borderId="14" xfId="0" applyBorder="1"/>
    <xf numFmtId="0" fontId="5" fillId="0" borderId="14" xfId="0" applyFont="1" applyBorder="1"/>
    <xf numFmtId="4" fontId="0" fillId="0" borderId="14" xfId="0" applyNumberFormat="1" applyBorder="1"/>
    <xf numFmtId="0" fontId="1" fillId="0" borderId="14" xfId="0" applyFont="1" applyBorder="1"/>
    <xf numFmtId="0" fontId="5" fillId="0" borderId="0" xfId="0" applyFont="1" applyBorder="1"/>
    <xf numFmtId="4" fontId="0" fillId="0" borderId="0" xfId="0" applyNumberFormat="1" applyBorder="1"/>
    <xf numFmtId="0" fontId="1" fillId="0" borderId="0" xfId="0" applyFont="1" applyBorder="1"/>
    <xf numFmtId="4" fontId="5" fillId="0" borderId="0" xfId="0" applyNumberFormat="1" applyFont="1"/>
    <xf numFmtId="4" fontId="1" fillId="0" borderId="0" xfId="0" applyNumberFormat="1" applyFont="1"/>
    <xf numFmtId="0" fontId="1" fillId="3" borderId="2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5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4" fontId="0" fillId="3" borderId="1" xfId="0" applyNumberFormat="1" applyFill="1" applyBorder="1" applyProtection="1">
      <protection locked="0"/>
    </xf>
    <xf numFmtId="0" fontId="0" fillId="0" borderId="35" xfId="0" applyBorder="1" applyProtection="1"/>
    <xf numFmtId="0" fontId="7" fillId="0" borderId="0" xfId="0" applyFont="1" applyAlignment="1" applyProtection="1"/>
    <xf numFmtId="0" fontId="17" fillId="0" borderId="9" xfId="0" applyFont="1" applyBorder="1" applyAlignment="1" applyProtection="1">
      <alignment vertical="top"/>
    </xf>
    <xf numFmtId="0" fontId="20" fillId="0" borderId="6" xfId="0" applyFont="1" applyBorder="1" applyProtection="1"/>
    <xf numFmtId="0" fontId="16" fillId="0" borderId="36" xfId="0" applyFont="1" applyBorder="1" applyProtection="1"/>
    <xf numFmtId="0" fontId="16" fillId="0" borderId="38" xfId="0" applyFont="1" applyBorder="1" applyProtection="1"/>
    <xf numFmtId="0" fontId="17" fillId="0" borderId="9" xfId="0" applyFont="1" applyBorder="1" applyAlignment="1" applyProtection="1">
      <alignment horizontal="left" vertical="top"/>
    </xf>
    <xf numFmtId="0" fontId="20" fillId="0" borderId="11" xfId="0" applyFont="1" applyBorder="1" applyAlignment="1" applyProtection="1">
      <alignment horizontal="left" vertical="top"/>
    </xf>
    <xf numFmtId="0" fontId="16" fillId="0" borderId="6" xfId="0" applyFont="1" applyBorder="1" applyProtection="1"/>
    <xf numFmtId="0" fontId="16" fillId="0" borderId="0" xfId="0" applyFont="1" applyProtection="1"/>
    <xf numFmtId="4" fontId="22" fillId="0" borderId="2" xfId="0" applyNumberFormat="1" applyFont="1" applyBorder="1" applyProtection="1"/>
    <xf numFmtId="0" fontId="19" fillId="0" borderId="6" xfId="0" applyFont="1" applyBorder="1" applyAlignment="1" applyProtection="1">
      <alignment horizontal="center"/>
    </xf>
    <xf numFmtId="0" fontId="17" fillId="0" borderId="9" xfId="0" applyFont="1" applyBorder="1" applyProtection="1"/>
    <xf numFmtId="0" fontId="17" fillId="0" borderId="42" xfId="0" applyFont="1" applyBorder="1" applyProtection="1"/>
    <xf numFmtId="0" fontId="22" fillId="0" borderId="42" xfId="0" applyFont="1" applyBorder="1" applyProtection="1"/>
    <xf numFmtId="0" fontId="22" fillId="0" borderId="9" xfId="0" applyFont="1" applyBorder="1" applyProtection="1"/>
    <xf numFmtId="0" fontId="16" fillId="0" borderId="5" xfId="0" applyFont="1" applyBorder="1" applyProtection="1"/>
    <xf numFmtId="0" fontId="16" fillId="0" borderId="37" xfId="0" applyFont="1" applyBorder="1" applyProtection="1"/>
    <xf numFmtId="0" fontId="16" fillId="0" borderId="49" xfId="0" applyFont="1" applyFill="1" applyBorder="1" applyProtection="1"/>
    <xf numFmtId="0" fontId="16" fillId="0" borderId="37" xfId="0" applyFont="1" applyFill="1" applyBorder="1" applyProtection="1"/>
    <xf numFmtId="0" fontId="16" fillId="0" borderId="11" xfId="0" applyFont="1" applyBorder="1" applyAlignment="1" applyProtection="1">
      <alignment horizontal="center"/>
    </xf>
    <xf numFmtId="0" fontId="22" fillId="0" borderId="2" xfId="0" applyFont="1" applyBorder="1" applyProtection="1"/>
    <xf numFmtId="4" fontId="22" fillId="0" borderId="9" xfId="0" applyNumberFormat="1" applyFont="1" applyBorder="1" applyProtection="1"/>
    <xf numFmtId="0" fontId="3" fillId="0" borderId="1" xfId="0" applyFont="1" applyFill="1" applyBorder="1" applyAlignment="1" applyProtection="1">
      <alignment horizontal="center"/>
    </xf>
    <xf numFmtId="164" fontId="11" fillId="0" borderId="9" xfId="2" applyNumberFormat="1" applyFont="1" applyBorder="1" applyAlignment="1">
      <alignment horizontal="left"/>
    </xf>
    <xf numFmtId="0" fontId="0" fillId="0" borderId="0" xfId="0" applyProtection="1"/>
    <xf numFmtId="0" fontId="26" fillId="0" borderId="0" xfId="0" applyFont="1" applyAlignment="1" applyProtection="1"/>
    <xf numFmtId="0" fontId="26" fillId="0" borderId="0" xfId="0" applyFont="1"/>
    <xf numFmtId="0" fontId="26" fillId="0" borderId="0" xfId="0" applyFont="1" applyProtection="1"/>
    <xf numFmtId="0" fontId="16" fillId="0" borderId="0" xfId="0" applyFont="1" applyFill="1" applyBorder="1" applyProtection="1"/>
    <xf numFmtId="0" fontId="8" fillId="0" borderId="0" xfId="0" applyFont="1" applyProtection="1"/>
    <xf numFmtId="0" fontId="1" fillId="0" borderId="37" xfId="0" applyFont="1" applyBorder="1" applyProtection="1"/>
    <xf numFmtId="0" fontId="23" fillId="3" borderId="9" xfId="0" applyFont="1" applyFill="1" applyBorder="1" applyAlignment="1" applyProtection="1">
      <alignment wrapText="1"/>
      <protection locked="0"/>
    </xf>
    <xf numFmtId="4" fontId="16" fillId="3" borderId="9" xfId="0" applyNumberFormat="1" applyFont="1" applyFill="1" applyBorder="1" applyProtection="1">
      <protection locked="0"/>
    </xf>
    <xf numFmtId="0" fontId="23" fillId="3" borderId="36" xfId="0" applyFont="1" applyFill="1" applyBorder="1" applyProtection="1">
      <protection locked="0"/>
    </xf>
    <xf numFmtId="4" fontId="16" fillId="3" borderId="36" xfId="0" applyNumberFormat="1" applyFont="1" applyFill="1" applyBorder="1" applyProtection="1">
      <protection locked="0"/>
    </xf>
    <xf numFmtId="0" fontId="23" fillId="3" borderId="38" xfId="0" applyFont="1" applyFill="1" applyBorder="1" applyProtection="1">
      <protection locked="0"/>
    </xf>
    <xf numFmtId="4" fontId="16" fillId="3" borderId="38" xfId="0" applyNumberFormat="1" applyFont="1" applyFill="1" applyBorder="1" applyProtection="1">
      <protection locked="0"/>
    </xf>
    <xf numFmtId="0" fontId="23" fillId="3" borderId="41" xfId="0" applyFont="1" applyFill="1" applyBorder="1" applyProtection="1">
      <protection locked="0"/>
    </xf>
    <xf numFmtId="4" fontId="16" fillId="3" borderId="41" xfId="0" applyNumberFormat="1" applyFont="1" applyFill="1" applyBorder="1" applyProtection="1">
      <protection locked="0"/>
    </xf>
    <xf numFmtId="0" fontId="24" fillId="0" borderId="0" xfId="0" applyFont="1" applyProtection="1">
      <protection locked="0"/>
    </xf>
    <xf numFmtId="4" fontId="16" fillId="3" borderId="6" xfId="0" applyNumberFormat="1" applyFont="1" applyFill="1" applyBorder="1" applyProtection="1">
      <protection locked="0"/>
    </xf>
    <xf numFmtId="4" fontId="16" fillId="0" borderId="38" xfId="0" applyNumberFormat="1" applyFont="1" applyFill="1" applyBorder="1" applyProtection="1"/>
    <xf numFmtId="0" fontId="1" fillId="0" borderId="0" xfId="0" applyFont="1" applyBorder="1" applyProtection="1"/>
    <xf numFmtId="0" fontId="0" fillId="0" borderId="0" xfId="0" applyProtection="1"/>
    <xf numFmtId="0" fontId="19" fillId="0" borderId="9" xfId="0" applyFont="1" applyBorder="1" applyAlignment="1" applyProtection="1">
      <alignment horizontal="center" wrapText="1"/>
    </xf>
    <xf numFmtId="4" fontId="5" fillId="0" borderId="1" xfId="1" applyNumberFormat="1" applyFont="1" applyBorder="1" applyAlignment="1">
      <alignment horizontal="right"/>
    </xf>
    <xf numFmtId="0" fontId="1" fillId="0" borderId="0" xfId="0" applyFont="1" applyProtection="1"/>
    <xf numFmtId="0" fontId="24" fillId="0" borderId="0" xfId="0" applyFont="1" applyProtection="1"/>
    <xf numFmtId="0" fontId="26" fillId="0" borderId="0" xfId="0" applyFont="1" applyAlignment="1" applyProtection="1">
      <alignment horizontal="center"/>
    </xf>
    <xf numFmtId="4" fontId="1" fillId="0" borderId="0" xfId="0" applyNumberFormat="1" applyFont="1" applyBorder="1" applyProtection="1"/>
    <xf numFmtId="0" fontId="24" fillId="0" borderId="0" xfId="0" applyFont="1" applyAlignment="1" applyProtection="1">
      <alignment horizontal="center"/>
    </xf>
    <xf numFmtId="0" fontId="26" fillId="0" borderId="2" xfId="0" applyFont="1" applyBorder="1" applyProtection="1"/>
    <xf numFmtId="0" fontId="24" fillId="0" borderId="3" xfId="0" applyFont="1" applyBorder="1" applyProtection="1"/>
    <xf numFmtId="0" fontId="24" fillId="0" borderId="2" xfId="0" applyFont="1" applyBorder="1" applyProtection="1"/>
    <xf numFmtId="0" fontId="24" fillId="0" borderId="4" xfId="0" applyFont="1" applyBorder="1" applyProtection="1"/>
    <xf numFmtId="0" fontId="24" fillId="0" borderId="0" xfId="0" applyFont="1" applyBorder="1" applyProtection="1"/>
    <xf numFmtId="4" fontId="1" fillId="0" borderId="0" xfId="0" applyNumberFormat="1" applyFont="1" applyProtection="1"/>
    <xf numFmtId="0" fontId="24" fillId="3" borderId="3" xfId="0" applyFont="1" applyFill="1" applyBorder="1" applyProtection="1"/>
    <xf numFmtId="0" fontId="26" fillId="0" borderId="3" xfId="0" applyFont="1" applyBorder="1" applyProtection="1"/>
    <xf numFmtId="2" fontId="26" fillId="0" borderId="2" xfId="0" applyNumberFormat="1" applyFont="1" applyBorder="1" applyProtection="1"/>
    <xf numFmtId="0" fontId="3" fillId="0" borderId="0" xfId="0" applyNumberFormat="1" applyFont="1" applyFill="1" applyBorder="1" applyAlignment="1" applyProtection="1">
      <alignment horizontal="left"/>
    </xf>
    <xf numFmtId="165" fontId="3" fillId="0" borderId="1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4" fontId="17" fillId="0" borderId="43" xfId="0" applyNumberFormat="1" applyFont="1" applyBorder="1" applyProtection="1"/>
    <xf numFmtId="4" fontId="20" fillId="0" borderId="44" xfId="0" applyNumberFormat="1" applyFont="1" applyBorder="1" applyAlignment="1" applyProtection="1">
      <alignment horizontal="center"/>
    </xf>
    <xf numFmtId="2" fontId="13" fillId="0" borderId="0" xfId="0" applyNumberFormat="1" applyFont="1" applyAlignment="1" applyProtection="1">
      <alignment horizontal="right"/>
    </xf>
    <xf numFmtId="3" fontId="13" fillId="0" borderId="0" xfId="0" applyNumberFormat="1" applyFont="1" applyBorder="1" applyAlignment="1" applyProtection="1">
      <alignment horizontal="right"/>
    </xf>
    <xf numFmtId="3" fontId="13" fillId="0" borderId="0" xfId="0" applyNumberFormat="1" applyFont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5" fillId="0" borderId="3" xfId="0" applyNumberFormat="1" applyFont="1" applyBorder="1" applyAlignment="1" applyProtection="1">
      <alignment horizontal="right"/>
    </xf>
    <xf numFmtId="4" fontId="5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left" wrapText="1"/>
    </xf>
    <xf numFmtId="4" fontId="0" fillId="0" borderId="17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4" fontId="0" fillId="3" borderId="2" xfId="0" applyNumberFormat="1" applyFill="1" applyBorder="1" applyAlignment="1" applyProtection="1">
      <alignment horizontal="right"/>
      <protection locked="0"/>
    </xf>
    <xf numFmtId="4" fontId="0" fillId="3" borderId="3" xfId="0" applyNumberFormat="1" applyFill="1" applyBorder="1" applyAlignment="1" applyProtection="1">
      <alignment horizontal="right"/>
      <protection locked="0"/>
    </xf>
    <xf numFmtId="4" fontId="0" fillId="3" borderId="4" xfId="0" applyNumberFormat="1" applyFill="1" applyBorder="1" applyAlignment="1" applyProtection="1">
      <alignment horizontal="right"/>
      <protection locked="0"/>
    </xf>
    <xf numFmtId="4" fontId="5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4" xfId="0" applyNumberFormat="1" applyFont="1" applyBorder="1" applyAlignment="1">
      <alignment horizontal="right"/>
    </xf>
    <xf numFmtId="4" fontId="0" fillId="3" borderId="9" xfId="0" applyNumberFormat="1" applyFill="1" applyBorder="1" applyAlignment="1" applyProtection="1">
      <alignment horizontal="right"/>
      <protection locked="0"/>
    </xf>
    <xf numFmtId="4" fontId="0" fillId="3" borderId="14" xfId="0" applyNumberFormat="1" applyFill="1" applyBorder="1" applyAlignment="1" applyProtection="1">
      <alignment horizontal="right"/>
      <protection locked="0"/>
    </xf>
    <xf numFmtId="4" fontId="0" fillId="3" borderId="15" xfId="0" applyNumberFormat="1" applyFill="1" applyBorder="1" applyAlignment="1" applyProtection="1">
      <alignment horizontal="right"/>
      <protection locked="0"/>
    </xf>
    <xf numFmtId="4" fontId="0" fillId="3" borderId="17" xfId="0" applyNumberFormat="1" applyFill="1" applyBorder="1" applyAlignment="1" applyProtection="1">
      <alignment horizontal="right"/>
      <protection locked="0"/>
    </xf>
    <xf numFmtId="4" fontId="0" fillId="3" borderId="16" xfId="0" applyNumberFormat="1" applyFill="1" applyBorder="1" applyAlignment="1" applyProtection="1">
      <alignment horizontal="right"/>
      <protection locked="0"/>
    </xf>
    <xf numFmtId="4" fontId="0" fillId="3" borderId="27" xfId="0" applyNumberFormat="1" applyFill="1" applyBorder="1" applyAlignment="1" applyProtection="1">
      <alignment horizontal="right"/>
      <protection locked="0"/>
    </xf>
    <xf numFmtId="4" fontId="0" fillId="3" borderId="22" xfId="0" applyNumberFormat="1" applyFill="1" applyBorder="1" applyAlignment="1" applyProtection="1">
      <alignment horizontal="right"/>
      <protection locked="0"/>
    </xf>
    <xf numFmtId="4" fontId="0" fillId="3" borderId="23" xfId="0" applyNumberFormat="1" applyFill="1" applyBorder="1" applyAlignment="1" applyProtection="1">
      <alignment horizontal="right"/>
      <protection locked="0"/>
    </xf>
    <xf numFmtId="4" fontId="0" fillId="3" borderId="28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2" fontId="0" fillId="0" borderId="2" xfId="0" applyNumberFormat="1" applyBorder="1" applyAlignment="1" applyProtection="1">
      <alignment horizontal="center"/>
    </xf>
    <xf numFmtId="2" fontId="0" fillId="0" borderId="3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2" xfId="0" applyNumberFormat="1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5" fillId="0" borderId="4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  <protection locked="0"/>
    </xf>
    <xf numFmtId="2" fontId="0" fillId="0" borderId="9" xfId="0" applyNumberFormat="1" applyBorder="1" applyProtection="1"/>
    <xf numFmtId="2" fontId="0" fillId="0" borderId="14" xfId="0" applyNumberFormat="1" applyBorder="1" applyProtection="1"/>
    <xf numFmtId="2" fontId="0" fillId="0" borderId="15" xfId="0" applyNumberFormat="1" applyBorder="1" applyProtection="1"/>
    <xf numFmtId="0" fontId="1" fillId="0" borderId="9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Protection="1"/>
    <xf numFmtId="0" fontId="1" fillId="0" borderId="10" xfId="0" applyFont="1" applyBorder="1" applyProtection="1"/>
    <xf numFmtId="1" fontId="0" fillId="3" borderId="9" xfId="0" applyNumberFormat="1" applyFill="1" applyBorder="1" applyAlignment="1" applyProtection="1">
      <alignment horizontal="right"/>
      <protection locked="0"/>
    </xf>
    <xf numFmtId="1" fontId="0" fillId="3" borderId="15" xfId="0" applyNumberFormat="1" applyFill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/>
    </xf>
    <xf numFmtId="1" fontId="0" fillId="3" borderId="14" xfId="0" applyNumberFormat="1" applyFill="1" applyBorder="1" applyAlignment="1" applyProtection="1">
      <alignment horizontal="right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0" fillId="0" borderId="17" xfId="0" applyNumberFormat="1" applyBorder="1" applyProtection="1"/>
    <xf numFmtId="2" fontId="0" fillId="0" borderId="16" xfId="0" applyNumberFormat="1" applyBorder="1" applyProtection="1"/>
    <xf numFmtId="2" fontId="0" fillId="0" borderId="27" xfId="0" applyNumberFormat="1" applyBorder="1" applyProtection="1"/>
    <xf numFmtId="2" fontId="0" fillId="0" borderId="6" xfId="0" applyNumberFormat="1" applyBorder="1" applyProtection="1"/>
    <xf numFmtId="2" fontId="0" fillId="0" borderId="0" xfId="0" applyNumberFormat="1" applyBorder="1" applyProtection="1"/>
    <xf numFmtId="2" fontId="0" fillId="0" borderId="10" xfId="0" applyNumberFormat="1" applyBorder="1" applyProtection="1"/>
    <xf numFmtId="1" fontId="0" fillId="3" borderId="0" xfId="0" applyNumberForma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right"/>
      <protection locked="0"/>
    </xf>
    <xf numFmtId="1" fontId="0" fillId="3" borderId="17" xfId="0" applyNumberFormat="1" applyFill="1" applyBorder="1" applyAlignment="1" applyProtection="1">
      <alignment horizontal="right"/>
      <protection locked="0"/>
    </xf>
    <xf numFmtId="1" fontId="0" fillId="3" borderId="27" xfId="0" applyNumberFormat="1" applyFill="1" applyBorder="1" applyAlignment="1" applyProtection="1">
      <alignment horizontal="right"/>
      <protection locked="0"/>
    </xf>
    <xf numFmtId="0" fontId="1" fillId="0" borderId="0" xfId="0" applyFont="1" applyBorder="1" applyProtection="1"/>
    <xf numFmtId="1" fontId="0" fillId="3" borderId="6" xfId="0" applyNumberFormat="1" applyFill="1" applyBorder="1" applyAlignment="1" applyProtection="1">
      <alignment horizontal="right"/>
      <protection locked="0"/>
    </xf>
    <xf numFmtId="1" fontId="0" fillId="3" borderId="10" xfId="0" applyNumberFormat="1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</xf>
    <xf numFmtId="0" fontId="0" fillId="0" borderId="6" xfId="0" applyBorder="1" applyProtection="1"/>
    <xf numFmtId="0" fontId="0" fillId="0" borderId="10" xfId="0" applyBorder="1" applyProtection="1"/>
    <xf numFmtId="0" fontId="7" fillId="0" borderId="0" xfId="0" applyFont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right"/>
    </xf>
    <xf numFmtId="2" fontId="5" fillId="0" borderId="4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/>
    <xf numFmtId="4" fontId="5" fillId="0" borderId="3" xfId="0" applyNumberFormat="1" applyFont="1" applyBorder="1" applyAlignment="1"/>
    <xf numFmtId="4" fontId="5" fillId="0" borderId="4" xfId="0" applyNumberFormat="1" applyFont="1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35" xfId="0" applyNumberFormat="1" applyFill="1" applyBorder="1" applyAlignment="1" applyProtection="1">
      <alignment horizontal="right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12" xfId="0" applyFont="1" applyFill="1" applyBorder="1" applyAlignment="1" applyProtection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0" fillId="0" borderId="9" xfId="0" applyNumberFormat="1" applyBorder="1" applyAlignment="1"/>
    <xf numFmtId="4" fontId="0" fillId="0" borderId="14" xfId="0" applyNumberFormat="1" applyBorder="1" applyAlignment="1"/>
    <xf numFmtId="4" fontId="0" fillId="0" borderId="15" xfId="0" applyNumberFormat="1" applyBorder="1" applyAlignment="1"/>
    <xf numFmtId="10" fontId="0" fillId="0" borderId="0" xfId="0" applyNumberFormat="1" applyBorder="1" applyAlignment="1">
      <alignment horizontal="right"/>
    </xf>
    <xf numFmtId="4" fontId="0" fillId="0" borderId="17" xfId="0" applyNumberFormat="1" applyBorder="1" applyAlignment="1"/>
    <xf numFmtId="4" fontId="0" fillId="0" borderId="16" xfId="0" applyNumberFormat="1" applyBorder="1" applyAlignment="1"/>
    <xf numFmtId="4" fontId="0" fillId="0" borderId="27" xfId="0" applyNumberFormat="1" applyBorder="1" applyAlignment="1"/>
    <xf numFmtId="10" fontId="0" fillId="0" borderId="0" xfId="0" applyNumberFormat="1" applyFill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" fontId="0" fillId="0" borderId="32" xfId="0" applyNumberFormat="1" applyBorder="1" applyAlignment="1"/>
    <xf numFmtId="4" fontId="0" fillId="0" borderId="33" xfId="0" applyNumberFormat="1" applyBorder="1" applyAlignment="1"/>
    <xf numFmtId="4" fontId="0" fillId="0" borderId="34" xfId="0" applyNumberFormat="1" applyBorder="1" applyAlignment="1"/>
    <xf numFmtId="4" fontId="0" fillId="0" borderId="6" xfId="0" applyNumberFormat="1" applyBorder="1" applyAlignment="1"/>
    <xf numFmtId="4" fontId="0" fillId="0" borderId="0" xfId="0" applyNumberFormat="1" applyBorder="1" applyAlignment="1"/>
    <xf numFmtId="4" fontId="0" fillId="0" borderId="10" xfId="0" applyNumberFormat="1" applyBorder="1" applyAlignment="1"/>
    <xf numFmtId="4" fontId="1" fillId="0" borderId="0" xfId="0" applyNumberFormat="1" applyFont="1" applyAlignment="1">
      <alignment horizontal="right"/>
    </xf>
    <xf numFmtId="165" fontId="3" fillId="0" borderId="12" xfId="0" applyNumberFormat="1" applyFont="1" applyFill="1" applyBorder="1" applyAlignment="1" applyProtection="1">
      <alignment horizontal="left"/>
    </xf>
    <xf numFmtId="4" fontId="22" fillId="0" borderId="53" xfId="0" applyNumberFormat="1" applyFont="1" applyBorder="1" applyAlignment="1" applyProtection="1">
      <alignment horizontal="right"/>
    </xf>
    <xf numFmtId="4" fontId="22" fillId="0" borderId="54" xfId="0" applyNumberFormat="1" applyFont="1" applyBorder="1" applyAlignment="1" applyProtection="1">
      <alignment horizontal="right"/>
    </xf>
    <xf numFmtId="4" fontId="22" fillId="0" borderId="55" xfId="0" applyNumberFormat="1" applyFont="1" applyBorder="1" applyAlignment="1" applyProtection="1">
      <alignment horizontal="right"/>
    </xf>
    <xf numFmtId="0" fontId="19" fillId="0" borderId="9" xfId="0" applyFont="1" applyBorder="1" applyAlignment="1" applyProtection="1">
      <alignment horizontal="center" wrapText="1"/>
    </xf>
    <xf numFmtId="0" fontId="19" fillId="0" borderId="14" xfId="0" applyFont="1" applyBorder="1" applyAlignment="1" applyProtection="1">
      <alignment horizontal="center" wrapText="1"/>
    </xf>
    <xf numFmtId="0" fontId="19" fillId="0" borderId="15" xfId="0" applyFont="1" applyBorder="1" applyAlignment="1" applyProtection="1">
      <alignment horizontal="center" wrapText="1"/>
    </xf>
    <xf numFmtId="0" fontId="19" fillId="0" borderId="11" xfId="0" applyFont="1" applyBorder="1" applyAlignment="1" applyProtection="1">
      <alignment horizontal="center" wrapText="1"/>
    </xf>
    <xf numFmtId="0" fontId="19" fillId="0" borderId="12" xfId="0" applyFont="1" applyBorder="1" applyAlignment="1" applyProtection="1">
      <alignment horizontal="center" wrapText="1"/>
    </xf>
    <xf numFmtId="0" fontId="19" fillId="0" borderId="13" xfId="0" applyFont="1" applyBorder="1" applyAlignment="1" applyProtection="1">
      <alignment horizontal="center" wrapText="1"/>
    </xf>
    <xf numFmtId="4" fontId="16" fillId="3" borderId="50" xfId="0" applyNumberFormat="1" applyFont="1" applyFill="1" applyBorder="1" applyAlignment="1" applyProtection="1">
      <alignment horizontal="right"/>
      <protection locked="0"/>
    </xf>
    <xf numFmtId="4" fontId="16" fillId="3" borderId="51" xfId="0" applyNumberFormat="1" applyFont="1" applyFill="1" applyBorder="1" applyAlignment="1" applyProtection="1">
      <alignment horizontal="right"/>
      <protection locked="0"/>
    </xf>
    <xf numFmtId="4" fontId="16" fillId="3" borderId="52" xfId="0" applyNumberFormat="1" applyFont="1" applyFill="1" applyBorder="1" applyAlignment="1" applyProtection="1">
      <alignment horizontal="right"/>
      <protection locked="0"/>
    </xf>
    <xf numFmtId="4" fontId="16" fillId="3" borderId="36" xfId="0" applyNumberFormat="1" applyFont="1" applyFill="1" applyBorder="1" applyAlignment="1" applyProtection="1">
      <alignment horizontal="right"/>
      <protection locked="0"/>
    </xf>
    <xf numFmtId="4" fontId="16" fillId="3" borderId="39" xfId="0" applyNumberFormat="1" applyFont="1" applyFill="1" applyBorder="1" applyAlignment="1" applyProtection="1">
      <alignment horizontal="right"/>
      <protection locked="0"/>
    </xf>
    <xf numFmtId="4" fontId="16" fillId="3" borderId="40" xfId="0" applyNumberFormat="1" applyFont="1" applyFill="1" applyBorder="1" applyAlignment="1" applyProtection="1">
      <alignment horizontal="right"/>
      <protection locked="0"/>
    </xf>
    <xf numFmtId="4" fontId="16" fillId="0" borderId="46" xfId="0" applyNumberFormat="1" applyFont="1" applyFill="1" applyBorder="1" applyAlignment="1" applyProtection="1">
      <alignment horizontal="right"/>
    </xf>
    <xf numFmtId="4" fontId="16" fillId="0" borderId="47" xfId="0" applyNumberFormat="1" applyFont="1" applyFill="1" applyBorder="1" applyAlignment="1" applyProtection="1">
      <alignment horizontal="right"/>
    </xf>
    <xf numFmtId="4" fontId="16" fillId="0" borderId="48" xfId="0" applyNumberFormat="1" applyFont="1" applyFill="1" applyBorder="1" applyAlignment="1" applyProtection="1">
      <alignment horizontal="right"/>
    </xf>
    <xf numFmtId="4" fontId="16" fillId="0" borderId="36" xfId="0" applyNumberFormat="1" applyFont="1" applyFill="1" applyBorder="1" applyAlignment="1" applyProtection="1">
      <alignment horizontal="center"/>
    </xf>
    <xf numFmtId="4" fontId="16" fillId="0" borderId="39" xfId="0" applyNumberFormat="1" applyFont="1" applyFill="1" applyBorder="1" applyAlignment="1" applyProtection="1">
      <alignment horizontal="center"/>
    </xf>
    <xf numFmtId="4" fontId="16" fillId="0" borderId="40" xfId="0" applyNumberFormat="1" applyFont="1" applyFill="1" applyBorder="1" applyAlignment="1" applyProtection="1">
      <alignment horizontal="center"/>
    </xf>
    <xf numFmtId="4" fontId="16" fillId="0" borderId="36" xfId="0" applyNumberFormat="1" applyFont="1" applyFill="1" applyBorder="1" applyAlignment="1" applyProtection="1">
      <alignment horizontal="right"/>
    </xf>
    <xf numFmtId="4" fontId="16" fillId="0" borderId="39" xfId="0" applyNumberFormat="1" applyFont="1" applyFill="1" applyBorder="1" applyAlignment="1" applyProtection="1">
      <alignment horizontal="right"/>
    </xf>
    <xf numFmtId="4" fontId="16" fillId="0" borderId="40" xfId="0" applyNumberFormat="1" applyFont="1" applyFill="1" applyBorder="1" applyAlignment="1" applyProtection="1">
      <alignment horizontal="right"/>
    </xf>
    <xf numFmtId="0" fontId="0" fillId="0" borderId="0" xfId="0" applyProtection="1"/>
    <xf numFmtId="4" fontId="16" fillId="0" borderId="46" xfId="0" applyNumberFormat="1" applyFont="1" applyFill="1" applyBorder="1" applyAlignment="1" applyProtection="1">
      <alignment horizontal="center"/>
    </xf>
    <xf numFmtId="4" fontId="16" fillId="0" borderId="47" xfId="0" applyNumberFormat="1" applyFont="1" applyFill="1" applyBorder="1" applyAlignment="1" applyProtection="1">
      <alignment horizontal="center"/>
    </xf>
    <xf numFmtId="4" fontId="16" fillId="0" borderId="48" xfId="0" applyNumberFormat="1" applyFont="1" applyFill="1" applyBorder="1" applyAlignment="1" applyProtection="1">
      <alignment horizontal="center"/>
    </xf>
    <xf numFmtId="4" fontId="22" fillId="0" borderId="53" xfId="0" applyNumberFormat="1" applyFont="1" applyBorder="1" applyAlignment="1" applyProtection="1">
      <alignment horizontal="center"/>
    </xf>
    <xf numFmtId="4" fontId="22" fillId="0" borderId="54" xfId="0" applyNumberFormat="1" applyFont="1" applyBorder="1" applyAlignment="1" applyProtection="1">
      <alignment horizontal="center"/>
    </xf>
    <xf numFmtId="4" fontId="22" fillId="0" borderId="55" xfId="0" applyNumberFormat="1" applyFont="1" applyBorder="1" applyAlignment="1" applyProtection="1">
      <alignment horizontal="center"/>
    </xf>
    <xf numFmtId="4" fontId="22" fillId="0" borderId="43" xfId="0" applyNumberFormat="1" applyFont="1" applyBorder="1" applyAlignment="1" applyProtection="1">
      <alignment horizontal="center"/>
    </xf>
    <xf numFmtId="4" fontId="22" fillId="0" borderId="44" xfId="0" applyNumberFormat="1" applyFont="1" applyBorder="1" applyAlignment="1" applyProtection="1">
      <alignment horizontal="center"/>
    </xf>
    <xf numFmtId="4" fontId="22" fillId="0" borderId="45" xfId="0" applyNumberFormat="1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19" fillId="0" borderId="13" xfId="0" applyFont="1" applyBorder="1" applyAlignment="1" applyProtection="1">
      <alignment horizontal="center"/>
    </xf>
    <xf numFmtId="4" fontId="16" fillId="0" borderId="50" xfId="0" applyNumberFormat="1" applyFont="1" applyFill="1" applyBorder="1" applyAlignment="1" applyProtection="1">
      <alignment horizontal="center"/>
    </xf>
    <xf numFmtId="4" fontId="16" fillId="0" borderId="51" xfId="0" applyNumberFormat="1" applyFont="1" applyFill="1" applyBorder="1" applyAlignment="1" applyProtection="1">
      <alignment horizontal="center"/>
    </xf>
    <xf numFmtId="4" fontId="16" fillId="0" borderId="52" xfId="0" applyNumberFormat="1" applyFont="1" applyFill="1" applyBorder="1" applyAlignment="1" applyProtection="1">
      <alignment horizontal="center"/>
    </xf>
    <xf numFmtId="4" fontId="22" fillId="0" borderId="44" xfId="0" applyNumberFormat="1" applyFont="1" applyBorder="1" applyAlignment="1" applyProtection="1">
      <alignment horizontal="right"/>
    </xf>
    <xf numFmtId="4" fontId="22" fillId="0" borderId="45" xfId="0" applyNumberFormat="1" applyFont="1" applyBorder="1" applyAlignment="1" applyProtection="1">
      <alignment horizontal="right"/>
    </xf>
    <xf numFmtId="4" fontId="22" fillId="0" borderId="6" xfId="0" applyNumberFormat="1" applyFont="1" applyFill="1" applyBorder="1" applyProtection="1"/>
    <xf numFmtId="4" fontId="22" fillId="0" borderId="0" xfId="0" applyNumberFormat="1" applyFont="1" applyFill="1" applyBorder="1" applyProtection="1"/>
    <xf numFmtId="4" fontId="16" fillId="0" borderId="6" xfId="0" applyNumberFormat="1" applyFont="1" applyFill="1" applyBorder="1" applyProtection="1"/>
    <xf numFmtId="4" fontId="16" fillId="0" borderId="0" xfId="0" applyNumberFormat="1" applyFont="1" applyFill="1" applyBorder="1" applyProtection="1"/>
    <xf numFmtId="0" fontId="19" fillId="0" borderId="6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center" wrapText="1"/>
    </xf>
    <xf numFmtId="4" fontId="16" fillId="0" borderId="6" xfId="0" applyNumberFormat="1" applyFont="1" applyFill="1" applyBorder="1" applyAlignment="1" applyProtection="1">
      <alignment wrapText="1"/>
    </xf>
    <xf numFmtId="4" fontId="16" fillId="0" borderId="0" xfId="0" applyNumberFormat="1" applyFont="1" applyFill="1" applyBorder="1" applyAlignment="1" applyProtection="1">
      <alignment wrapText="1"/>
    </xf>
    <xf numFmtId="0" fontId="16" fillId="0" borderId="6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wrapText="1"/>
    </xf>
    <xf numFmtId="0" fontId="17" fillId="0" borderId="5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24" fillId="0" borderId="2" xfId="0" applyFont="1" applyBorder="1" applyAlignment="1" applyProtection="1">
      <alignment horizontal="center"/>
    </xf>
    <xf numFmtId="0" fontId="24" fillId="0" borderId="3" xfId="0" applyFont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2" fontId="26" fillId="0" borderId="3" xfId="0" applyNumberFormat="1" applyFont="1" applyBorder="1" applyAlignment="1" applyProtection="1">
      <alignment horizontal="right"/>
    </xf>
    <xf numFmtId="1" fontId="24" fillId="0" borderId="2" xfId="0" applyNumberFormat="1" applyFont="1" applyBorder="1" applyAlignment="1" applyProtection="1">
      <alignment horizontal="right"/>
    </xf>
    <xf numFmtId="1" fontId="24" fillId="0" borderId="3" xfId="0" applyNumberFormat="1" applyFont="1" applyBorder="1" applyAlignment="1" applyProtection="1">
      <alignment horizontal="right"/>
    </xf>
    <xf numFmtId="2" fontId="24" fillId="0" borderId="2" xfId="0" applyNumberFormat="1" applyFont="1" applyBorder="1" applyAlignment="1" applyProtection="1">
      <alignment horizontal="right"/>
    </xf>
    <xf numFmtId="2" fontId="24" fillId="0" borderId="3" xfId="0" applyNumberFormat="1" applyFont="1" applyBorder="1" applyAlignment="1" applyProtection="1">
      <alignment horizontal="right"/>
    </xf>
    <xf numFmtId="0" fontId="1" fillId="4" borderId="9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</cellXfs>
  <cellStyles count="3">
    <cellStyle name="Standard" xfId="0" builtinId="0"/>
    <cellStyle name="Standard 2" xfId="1"/>
    <cellStyle name="Standard_ik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2" fmlaLink="$T$15" fmlaRange="Tierart" noThreeD="1" sel="1" val="0"/>
</file>

<file path=xl/ctrlProps/ctrlProp10.xml><?xml version="1.0" encoding="utf-8"?>
<formControlPr xmlns="http://schemas.microsoft.com/office/spreadsheetml/2009/9/main" objectType="Drop" dropStyle="combo" dx="22" fmlaLink="$T$20" fmlaRange="Tierart" noThreeD="1" sel="1" val="0"/>
</file>

<file path=xl/ctrlProps/ctrlProp11.xml><?xml version="1.0" encoding="utf-8"?>
<formControlPr xmlns="http://schemas.microsoft.com/office/spreadsheetml/2009/9/main" objectType="Drop" dropStyle="combo" dx="22" fmlaLink="$T$21" fmlaRange="Tierart" noThreeD="1" sel="1" val="0"/>
</file>

<file path=xl/ctrlProps/ctrlProp12.xml><?xml version="1.0" encoding="utf-8"?>
<formControlPr xmlns="http://schemas.microsoft.com/office/spreadsheetml/2009/9/main" objectType="Drop" dropStyle="combo" dx="22" fmlaLink="$T$22" fmlaRange="'Stammdaten-Tierhaltung'!$A$5:$A$68" noThreeD="1" sel="1" val="0"/>
</file>

<file path=xl/ctrlProps/ctrlProp13.xml><?xml version="1.0" encoding="utf-8"?>
<formControlPr xmlns="http://schemas.microsoft.com/office/spreadsheetml/2009/9/main" objectType="Drop" dropStyle="combo" dx="22" fmlaLink="$T$23" fmlaRange="'Stammdaten-Tierhaltung'!$A$5:$A$63" noThreeD="1" sel="1" val="0"/>
</file>

<file path=xl/ctrlProps/ctrlProp14.xml><?xml version="1.0" encoding="utf-8"?>
<formControlPr xmlns="http://schemas.microsoft.com/office/spreadsheetml/2009/9/main" objectType="Drop" dropStyle="combo" dx="22" fmlaLink="$T$24" fmlaRange="'Stammdaten-Tierhaltung'!$A$5:$A$68" noThreeD="1" sel="1" val="0"/>
</file>

<file path=xl/ctrlProps/ctrlProp15.xml><?xml version="1.0" encoding="utf-8"?>
<formControlPr xmlns="http://schemas.microsoft.com/office/spreadsheetml/2009/9/main" objectType="Drop" dropStyle="combo" dx="22" fmlaLink="$U$19" fmlaRange="$V$3:$V$3" noThreeD="1" sel="1" val="0"/>
</file>

<file path=xl/ctrlProps/ctrlProp16.xml><?xml version="1.0" encoding="utf-8"?>
<formControlPr xmlns="http://schemas.microsoft.com/office/spreadsheetml/2009/9/main" objectType="Drop" dropStyle="combo" dx="22" fmlaLink="$U$20" fmlaRange="$V$3:$V$3" noThreeD="1" sel="1" val="0"/>
</file>

<file path=xl/ctrlProps/ctrlProp17.xml><?xml version="1.0" encoding="utf-8"?>
<formControlPr xmlns="http://schemas.microsoft.com/office/spreadsheetml/2009/9/main" objectType="Drop" dropStyle="combo" dx="22" fmlaLink="$U$21" fmlaRange="$V$3:$V$3" noThreeD="1" sel="1" val="0"/>
</file>

<file path=xl/ctrlProps/ctrlProp18.xml><?xml version="1.0" encoding="utf-8"?>
<formControlPr xmlns="http://schemas.microsoft.com/office/spreadsheetml/2009/9/main" objectType="Drop" dropStyle="combo" dx="22" fmlaLink="$U$22" fmlaRange="$V$3:$V$3" noThreeD="1" sel="1" val="0"/>
</file>

<file path=xl/ctrlProps/ctrlProp19.xml><?xml version="1.0" encoding="utf-8"?>
<formControlPr xmlns="http://schemas.microsoft.com/office/spreadsheetml/2009/9/main" objectType="Drop" dropStyle="combo" dx="22" fmlaLink="$U$23" fmlaRange="$V$3:$V$3" noThreeD="1" sel="1" val="0"/>
</file>

<file path=xl/ctrlProps/ctrlProp2.xml><?xml version="1.0" encoding="utf-8"?>
<formControlPr xmlns="http://schemas.microsoft.com/office/spreadsheetml/2009/9/main" objectType="Drop" dropStyle="combo" dx="22" fmlaLink="$U$15" fmlaRange="$V$3:$V$3" noThreeD="1" sel="1" val="0"/>
</file>

<file path=xl/ctrlProps/ctrlProp20.xml><?xml version="1.0" encoding="utf-8"?>
<formControlPr xmlns="http://schemas.microsoft.com/office/spreadsheetml/2009/9/main" objectType="Drop" dropStyle="combo" dx="22" fmlaLink="$U$24" fmlaRange="$V$3:$V$3" noThreeD="1" sel="1" val="0"/>
</file>

<file path=xl/ctrlProps/ctrlProp21.xml><?xml version="1.0" encoding="utf-8"?>
<formControlPr xmlns="http://schemas.microsoft.com/office/spreadsheetml/2009/9/main" objectType="Drop" dropLines="2" dropStyle="combo" dx="16" fmlaLink="$U$14" fmlaRange="$T$5:$T$6" noThreeD="1" sel="1" val="0"/>
</file>

<file path=xl/ctrlProps/ctrlProp22.xml><?xml version="1.0" encoding="utf-8"?>
<formControlPr xmlns="http://schemas.microsoft.com/office/spreadsheetml/2009/9/main" objectType="CheckBox" fmlaLink="$S$20" lockText="1" noThreeD="1"/>
</file>

<file path=xl/ctrlProps/ctrlProp23.xml><?xml version="1.0" encoding="utf-8"?>
<formControlPr xmlns="http://schemas.microsoft.com/office/spreadsheetml/2009/9/main" objectType="CheckBox" fmlaLink="$S$21" lockText="1" noThreeD="1"/>
</file>

<file path=xl/ctrlProps/ctrlProp24.xml><?xml version="1.0" encoding="utf-8"?>
<formControlPr xmlns="http://schemas.microsoft.com/office/spreadsheetml/2009/9/main" objectType="CheckBox" fmlaLink="$S$21" lockText="1" noThreeD="1"/>
</file>

<file path=xl/ctrlProps/ctrlProp3.xml><?xml version="1.0" encoding="utf-8"?>
<formControlPr xmlns="http://schemas.microsoft.com/office/spreadsheetml/2009/9/main" objectType="Drop" dropStyle="combo" dx="22" fmlaLink="$T$16" fmlaRange="Tierart" noThreeD="1" sel="1" val="0"/>
</file>

<file path=xl/ctrlProps/ctrlProp4.xml><?xml version="1.0" encoding="utf-8"?>
<formControlPr xmlns="http://schemas.microsoft.com/office/spreadsheetml/2009/9/main" objectType="Drop" dropStyle="combo" dx="22" fmlaLink="$T$17" fmlaRange="Tierart" noThreeD="1" sel="1" val="0"/>
</file>

<file path=xl/ctrlProps/ctrlProp5.xml><?xml version="1.0" encoding="utf-8"?>
<formControlPr xmlns="http://schemas.microsoft.com/office/spreadsheetml/2009/9/main" objectType="Drop" dropStyle="combo" dx="22" fmlaLink="$T$18" fmlaRange="Tierart" noThreeD="1" sel="1" val="0"/>
</file>

<file path=xl/ctrlProps/ctrlProp6.xml><?xml version="1.0" encoding="utf-8"?>
<formControlPr xmlns="http://schemas.microsoft.com/office/spreadsheetml/2009/9/main" objectType="Drop" dropStyle="combo" dx="22" fmlaLink="$U$16" fmlaRange="$V$3:$V$3" noThreeD="1" sel="1" val="0"/>
</file>

<file path=xl/ctrlProps/ctrlProp7.xml><?xml version="1.0" encoding="utf-8"?>
<formControlPr xmlns="http://schemas.microsoft.com/office/spreadsheetml/2009/9/main" objectType="Drop" dropStyle="combo" dx="22" fmlaLink="$U$17" fmlaRange="$V$3:$V$3" noThreeD="1" sel="1" val="0"/>
</file>

<file path=xl/ctrlProps/ctrlProp8.xml><?xml version="1.0" encoding="utf-8"?>
<formControlPr xmlns="http://schemas.microsoft.com/office/spreadsheetml/2009/9/main" objectType="Drop" dropStyle="combo" dx="22" fmlaLink="$U$18" fmlaRange="$V$3:$V$3" noThreeD="1" sel="1" val="0"/>
</file>

<file path=xl/ctrlProps/ctrlProp9.xml><?xml version="1.0" encoding="utf-8"?>
<formControlPr xmlns="http://schemas.microsoft.com/office/spreadsheetml/2009/9/main" objectType="Drop" dropStyle="combo" dx="22" fmlaLink="$T$19" fmlaRange="Tierart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0</xdr:row>
      <xdr:rowOff>28575</xdr:rowOff>
    </xdr:from>
    <xdr:to>
      <xdr:col>17</xdr:col>
      <xdr:colOff>190500</xdr:colOff>
      <xdr:row>1</xdr:row>
      <xdr:rowOff>95250</xdr:rowOff>
    </xdr:to>
    <xdr:pic>
      <xdr:nvPicPr>
        <xdr:cNvPr id="1538" name="Picture 38" descr="1c_Logo_Niedersach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28575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1</xdr:col>
          <xdr:colOff>0</xdr:colOff>
          <xdr:row>15</xdr:row>
          <xdr:rowOff>9525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723900</xdr:colOff>
          <xdr:row>15</xdr:row>
          <xdr:rowOff>0</xdr:rowOff>
        </xdr:to>
        <xdr:sp macro="" textlink="">
          <xdr:nvSpPr>
            <xdr:cNvPr id="1073" name="Drop Down 49" descr="Hallo&#10;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9525</xdr:rowOff>
        </xdr:from>
        <xdr:to>
          <xdr:col>1</xdr:col>
          <xdr:colOff>0</xdr:colOff>
          <xdr:row>16</xdr:row>
          <xdr:rowOff>9525</xdr:rowOff>
        </xdr:to>
        <xdr:sp macro="" textlink="">
          <xdr:nvSpPr>
            <xdr:cNvPr id="1134" name="Drop Dow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1</xdr:col>
          <xdr:colOff>0</xdr:colOff>
          <xdr:row>17</xdr:row>
          <xdr:rowOff>0</xdr:rowOff>
        </xdr:to>
        <xdr:sp macro="" textlink="">
          <xdr:nvSpPr>
            <xdr:cNvPr id="1135" name="Drop Dow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1136" name="Drop Dow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723900</xdr:colOff>
          <xdr:row>16</xdr:row>
          <xdr:rowOff>0</xdr:rowOff>
        </xdr:to>
        <xdr:sp macro="" textlink="">
          <xdr:nvSpPr>
            <xdr:cNvPr id="1143" name="Drop Down 119" descr="Hallo&#10;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723900</xdr:colOff>
          <xdr:row>17</xdr:row>
          <xdr:rowOff>0</xdr:rowOff>
        </xdr:to>
        <xdr:sp macro="" textlink="">
          <xdr:nvSpPr>
            <xdr:cNvPr id="1144" name="Drop Down 120" descr="Hallo&#10;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723900</xdr:colOff>
          <xdr:row>18</xdr:row>
          <xdr:rowOff>0</xdr:rowOff>
        </xdr:to>
        <xdr:sp macro="" textlink="">
          <xdr:nvSpPr>
            <xdr:cNvPr id="1145" name="Drop Down 121" descr="Hallo&#10;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190500</xdr:rowOff>
        </xdr:from>
        <xdr:to>
          <xdr:col>1</xdr:col>
          <xdr:colOff>0</xdr:colOff>
          <xdr:row>19</xdr:row>
          <xdr:rowOff>190500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180975</xdr:rowOff>
        </xdr:from>
        <xdr:to>
          <xdr:col>1</xdr:col>
          <xdr:colOff>0</xdr:colOff>
          <xdr:row>20</xdr:row>
          <xdr:rowOff>180975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180975</xdr:rowOff>
        </xdr:from>
        <xdr:to>
          <xdr:col>1</xdr:col>
          <xdr:colOff>0</xdr:colOff>
          <xdr:row>21</xdr:row>
          <xdr:rowOff>180975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180975</xdr:rowOff>
        </xdr:from>
        <xdr:to>
          <xdr:col>1</xdr:col>
          <xdr:colOff>0</xdr:colOff>
          <xdr:row>22</xdr:row>
          <xdr:rowOff>180975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180975</xdr:rowOff>
        </xdr:from>
        <xdr:to>
          <xdr:col>1</xdr:col>
          <xdr:colOff>0</xdr:colOff>
          <xdr:row>23</xdr:row>
          <xdr:rowOff>180975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723900</xdr:colOff>
          <xdr:row>19</xdr:row>
          <xdr:rowOff>0</xdr:rowOff>
        </xdr:to>
        <xdr:sp macro="" textlink="">
          <xdr:nvSpPr>
            <xdr:cNvPr id="1215" name="Drop Down 191" descr="Hallo&#10;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723900</xdr:colOff>
          <xdr:row>20</xdr:row>
          <xdr:rowOff>0</xdr:rowOff>
        </xdr:to>
        <xdr:sp macro="" textlink="">
          <xdr:nvSpPr>
            <xdr:cNvPr id="1216" name="Drop Down 192" descr="Hallo&#10;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190500</xdr:rowOff>
        </xdr:from>
        <xdr:to>
          <xdr:col>1</xdr:col>
          <xdr:colOff>723900</xdr:colOff>
          <xdr:row>20</xdr:row>
          <xdr:rowOff>190500</xdr:rowOff>
        </xdr:to>
        <xdr:sp macro="" textlink="">
          <xdr:nvSpPr>
            <xdr:cNvPr id="1217" name="Drop Down 193" descr="Hallo&#10;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180975</xdr:rowOff>
        </xdr:from>
        <xdr:to>
          <xdr:col>1</xdr:col>
          <xdr:colOff>723900</xdr:colOff>
          <xdr:row>21</xdr:row>
          <xdr:rowOff>180975</xdr:rowOff>
        </xdr:to>
        <xdr:sp macro="" textlink="">
          <xdr:nvSpPr>
            <xdr:cNvPr id="1218" name="Drop Down 194" descr="Hallo&#10;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180975</xdr:rowOff>
        </xdr:from>
        <xdr:to>
          <xdr:col>1</xdr:col>
          <xdr:colOff>723900</xdr:colOff>
          <xdr:row>22</xdr:row>
          <xdr:rowOff>180975</xdr:rowOff>
        </xdr:to>
        <xdr:sp macro="" textlink="">
          <xdr:nvSpPr>
            <xdr:cNvPr id="1219" name="Drop Down 195" descr="Hallo&#10;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180975</xdr:rowOff>
        </xdr:from>
        <xdr:to>
          <xdr:col>1</xdr:col>
          <xdr:colOff>723900</xdr:colOff>
          <xdr:row>23</xdr:row>
          <xdr:rowOff>180975</xdr:rowOff>
        </xdr:to>
        <xdr:sp macro="" textlink="">
          <xdr:nvSpPr>
            <xdr:cNvPr id="1220" name="Drop Down 196" descr="Hallo&#10;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0</xdr:row>
      <xdr:rowOff>104775</xdr:rowOff>
    </xdr:from>
    <xdr:to>
      <xdr:col>17</xdr:col>
      <xdr:colOff>200025</xdr:colOff>
      <xdr:row>2</xdr:row>
      <xdr:rowOff>9525</xdr:rowOff>
    </xdr:to>
    <xdr:pic>
      <xdr:nvPicPr>
        <xdr:cNvPr id="5" name="Picture 38" descr="1c_Logo_Niedersach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12134850"/>
          <a:ext cx="15525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38100</xdr:rowOff>
    </xdr:from>
    <xdr:to>
      <xdr:col>17</xdr:col>
      <xdr:colOff>209549</xdr:colOff>
      <xdr:row>2</xdr:row>
      <xdr:rowOff>34816</xdr:rowOff>
    </xdr:to>
    <xdr:pic>
      <xdr:nvPicPr>
        <xdr:cNvPr id="6" name="Picture 38" descr="1c_Logo_Niedersach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38100"/>
          <a:ext cx="2047874" cy="396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19050</xdr:rowOff>
        </xdr:from>
        <xdr:to>
          <xdr:col>1</xdr:col>
          <xdr:colOff>295275</xdr:colOff>
          <xdr:row>14</xdr:row>
          <xdr:rowOff>9525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171110</xdr:colOff>
      <xdr:row>0</xdr:row>
      <xdr:rowOff>28574</xdr:rowOff>
    </xdr:from>
    <xdr:to>
      <xdr:col>18</xdr:col>
      <xdr:colOff>190500</xdr:colOff>
      <xdr:row>1</xdr:row>
      <xdr:rowOff>200024</xdr:rowOff>
    </xdr:to>
    <xdr:pic>
      <xdr:nvPicPr>
        <xdr:cNvPr id="4" name="Picture 38" descr="1c_Logo_Niedersach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635" y="28574"/>
          <a:ext cx="216251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104775</xdr:rowOff>
    </xdr:from>
    <xdr:to>
      <xdr:col>17</xdr:col>
      <xdr:colOff>180975</xdr:colOff>
      <xdr:row>2</xdr:row>
      <xdr:rowOff>76200</xdr:rowOff>
    </xdr:to>
    <xdr:pic>
      <xdr:nvPicPr>
        <xdr:cNvPr id="4" name="Picture 38" descr="1c_Logo_Niedersachs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04775"/>
          <a:ext cx="16192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</xdr:row>
          <xdr:rowOff>257175</xdr:rowOff>
        </xdr:from>
        <xdr:to>
          <xdr:col>3</xdr:col>
          <xdr:colOff>47625</xdr:colOff>
          <xdr:row>19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</xdr:row>
          <xdr:rowOff>19050</xdr:rowOff>
        </xdr:from>
        <xdr:to>
          <xdr:col>3</xdr:col>
          <xdr:colOff>85725</xdr:colOff>
          <xdr:row>21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257175</xdr:rowOff>
        </xdr:from>
        <xdr:to>
          <xdr:col>3</xdr:col>
          <xdr:colOff>95250</xdr:colOff>
          <xdr:row>21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NM67"/>
  <sheetViews>
    <sheetView showGridLines="0" showZeros="0" tabSelected="1" zoomScaleNormal="100" workbookViewId="0">
      <selection activeCell="A4" sqref="A4:R4"/>
    </sheetView>
  </sheetViews>
  <sheetFormatPr baseColWidth="10" defaultRowHeight="12.75" x14ac:dyDescent="0.2"/>
  <cols>
    <col min="1" max="1" width="34.42578125" customWidth="1"/>
    <col min="2" max="2" width="11" customWidth="1"/>
    <col min="3" max="4" width="3.42578125" customWidth="1"/>
    <col min="5" max="18" width="3.5703125" customWidth="1"/>
    <col min="19" max="19" width="1.7109375" hidden="1" customWidth="1"/>
    <col min="20" max="20" width="6.5703125" hidden="1" customWidth="1"/>
    <col min="21" max="21" width="8" hidden="1" customWidth="1"/>
    <col min="22" max="25" width="11.42578125" hidden="1" customWidth="1"/>
    <col min="26" max="27" width="11.42578125" style="2" hidden="1" customWidth="1"/>
    <col min="28" max="377" width="11.42578125" style="197"/>
  </cols>
  <sheetData>
    <row r="1" spans="1:27" ht="15.75" customHeight="1" x14ac:dyDescent="0.25">
      <c r="A1" s="346" t="s">
        <v>55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2" spans="1:27" ht="14.1" customHeight="1" x14ac:dyDescent="0.25">
      <c r="A2" s="94" t="s">
        <v>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7" ht="8.25" customHeight="1" x14ac:dyDescent="0.2">
      <c r="A3" s="9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V3" s="13" t="s">
        <v>14</v>
      </c>
    </row>
    <row r="4" spans="1:27" ht="14.1" customHeight="1" x14ac:dyDescent="0.2">
      <c r="A4" s="311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15"/>
      <c r="V4" s="8" t="s">
        <v>11</v>
      </c>
    </row>
    <row r="5" spans="1:27" x14ac:dyDescent="0.2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2"/>
      <c r="N5" s="2"/>
      <c r="O5" s="2"/>
      <c r="P5" s="2"/>
      <c r="Q5" s="2"/>
      <c r="R5" s="2"/>
      <c r="S5" s="2"/>
      <c r="V5" s="8" t="s">
        <v>12</v>
      </c>
    </row>
    <row r="6" spans="1:27" x14ac:dyDescent="0.2">
      <c r="A6" s="2"/>
      <c r="B6" s="2"/>
      <c r="C6" s="2"/>
      <c r="D6" s="9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S6" s="2"/>
      <c r="V6" s="8" t="s">
        <v>13</v>
      </c>
    </row>
    <row r="7" spans="1:27" x14ac:dyDescent="0.2">
      <c r="A7" s="2"/>
      <c r="B7" s="2"/>
      <c r="C7" s="2"/>
      <c r="D7" s="308" t="s">
        <v>2</v>
      </c>
      <c r="E7" s="309"/>
      <c r="F7" s="310"/>
      <c r="G7" s="308" t="s">
        <v>3</v>
      </c>
      <c r="H7" s="310"/>
      <c r="I7" s="308" t="s">
        <v>4</v>
      </c>
      <c r="J7" s="309"/>
      <c r="K7" s="310"/>
      <c r="L7" s="308" t="s">
        <v>7</v>
      </c>
      <c r="M7" s="309"/>
      <c r="N7" s="310"/>
      <c r="O7" s="308" t="s">
        <v>5</v>
      </c>
      <c r="P7" s="309"/>
      <c r="Q7" s="309"/>
      <c r="R7" s="310"/>
      <c r="S7" s="2"/>
    </row>
    <row r="8" spans="1:27" ht="18" x14ac:dyDescent="0.25">
      <c r="A8" s="16"/>
      <c r="B8" s="16"/>
      <c r="C8" s="16"/>
      <c r="D8" s="5">
        <v>2</v>
      </c>
      <c r="E8" s="5">
        <v>7</v>
      </c>
      <c r="F8" s="5">
        <v>6</v>
      </c>
      <c r="G8" s="17" t="s">
        <v>9</v>
      </c>
      <c r="H8" s="5">
        <v>3</v>
      </c>
      <c r="I8" s="6"/>
      <c r="J8" s="7"/>
      <c r="K8" s="7"/>
      <c r="L8" s="7"/>
      <c r="M8" s="7"/>
      <c r="N8" s="7"/>
      <c r="O8" s="7"/>
      <c r="P8" s="7"/>
      <c r="Q8" s="7"/>
      <c r="R8" s="7"/>
      <c r="S8" s="2"/>
    </row>
    <row r="9" spans="1:27" ht="18" x14ac:dyDescent="0.25">
      <c r="A9" s="16"/>
      <c r="B9" s="16"/>
      <c r="C9" s="16"/>
      <c r="D9" s="16"/>
      <c r="E9" s="14"/>
      <c r="F9" s="14"/>
      <c r="G9" s="14"/>
      <c r="H9" s="18"/>
      <c r="I9" s="14"/>
      <c r="J9" s="19"/>
      <c r="K9" s="20"/>
      <c r="L9" s="20"/>
      <c r="M9" s="20"/>
      <c r="N9" s="20"/>
      <c r="O9" s="20"/>
      <c r="P9" s="20"/>
      <c r="Q9" s="20"/>
      <c r="R9" s="20"/>
      <c r="S9" s="20"/>
    </row>
    <row r="10" spans="1:27" ht="15.75" customHeight="1" x14ac:dyDescent="0.2">
      <c r="A10" s="32" t="s">
        <v>45</v>
      </c>
      <c r="B10" s="21" t="s">
        <v>46</v>
      </c>
      <c r="C10" s="324" t="s">
        <v>47</v>
      </c>
      <c r="D10" s="325"/>
      <c r="E10" s="325"/>
      <c r="F10" s="325"/>
      <c r="G10" s="325"/>
      <c r="H10" s="325"/>
      <c r="I10" s="325"/>
      <c r="J10" s="315" t="s">
        <v>48</v>
      </c>
      <c r="K10" s="316"/>
      <c r="L10" s="316"/>
      <c r="M10" s="315" t="s">
        <v>49</v>
      </c>
      <c r="N10" s="316"/>
      <c r="O10" s="316"/>
      <c r="P10" s="316"/>
      <c r="Q10" s="316"/>
      <c r="R10" s="317"/>
      <c r="S10" s="2"/>
    </row>
    <row r="11" spans="1:27" ht="12.75" customHeight="1" x14ac:dyDescent="0.2">
      <c r="A11" s="22"/>
      <c r="B11" s="23"/>
      <c r="C11" s="318" t="s">
        <v>6</v>
      </c>
      <c r="D11" s="319"/>
      <c r="E11" s="319"/>
      <c r="F11" s="318" t="s">
        <v>20</v>
      </c>
      <c r="G11" s="319"/>
      <c r="H11" s="319"/>
      <c r="I11" s="326"/>
      <c r="J11" s="318"/>
      <c r="K11" s="329"/>
      <c r="L11" s="343"/>
      <c r="M11" s="319" t="s">
        <v>24</v>
      </c>
      <c r="N11" s="329"/>
      <c r="O11" s="329"/>
      <c r="P11" s="318" t="s">
        <v>21</v>
      </c>
      <c r="Q11" s="329"/>
      <c r="R11" s="343"/>
      <c r="S11" s="2"/>
    </row>
    <row r="12" spans="1:27" x14ac:dyDescent="0.2">
      <c r="A12" s="22"/>
      <c r="B12" s="23"/>
      <c r="C12" s="318"/>
      <c r="D12" s="319"/>
      <c r="E12" s="319"/>
      <c r="F12" s="318" t="s">
        <v>16</v>
      </c>
      <c r="G12" s="319"/>
      <c r="H12" s="319"/>
      <c r="I12" s="326"/>
      <c r="J12" s="344"/>
      <c r="K12" s="328"/>
      <c r="L12" s="345"/>
      <c r="M12" s="328"/>
      <c r="N12" s="328"/>
      <c r="O12" s="328"/>
      <c r="P12" s="347"/>
      <c r="Q12" s="329"/>
      <c r="R12" s="343"/>
      <c r="S12" s="2"/>
    </row>
    <row r="13" spans="1:27" x14ac:dyDescent="0.2">
      <c r="A13" s="22"/>
      <c r="B13" s="23"/>
      <c r="C13" s="318"/>
      <c r="D13" s="319"/>
      <c r="E13" s="319"/>
      <c r="F13" s="318" t="s">
        <v>44</v>
      </c>
      <c r="G13" s="319"/>
      <c r="H13" s="319" t="s">
        <v>19</v>
      </c>
      <c r="I13" s="326"/>
      <c r="J13" s="318"/>
      <c r="K13" s="329"/>
      <c r="L13" s="343"/>
      <c r="M13" s="319" t="s">
        <v>17</v>
      </c>
      <c r="N13" s="329"/>
      <c r="O13" s="329"/>
      <c r="P13" s="318" t="s">
        <v>17</v>
      </c>
      <c r="Q13" s="329"/>
      <c r="R13" s="343"/>
      <c r="S13" s="2"/>
    </row>
    <row r="14" spans="1:27" ht="14.25" x14ac:dyDescent="0.2">
      <c r="A14" s="24"/>
      <c r="B14" s="24"/>
      <c r="C14" s="318" t="s">
        <v>18</v>
      </c>
      <c r="D14" s="319"/>
      <c r="E14" s="319"/>
      <c r="F14" s="320" t="s">
        <v>18</v>
      </c>
      <c r="G14" s="321"/>
      <c r="H14" s="340" t="s">
        <v>18</v>
      </c>
      <c r="I14" s="340"/>
      <c r="J14" s="318"/>
      <c r="K14" s="329"/>
      <c r="L14" s="343"/>
      <c r="M14" s="319" t="s">
        <v>22</v>
      </c>
      <c r="N14" s="329"/>
      <c r="O14" s="329"/>
      <c r="P14" s="348" t="s">
        <v>22</v>
      </c>
      <c r="Q14" s="349"/>
      <c r="R14" s="350"/>
      <c r="S14" s="2"/>
      <c r="T14" s="1"/>
      <c r="U14" s="1"/>
      <c r="V14" s="126" t="s">
        <v>6</v>
      </c>
      <c r="W14" s="126" t="s">
        <v>0</v>
      </c>
      <c r="X14" s="126" t="s">
        <v>23</v>
      </c>
      <c r="Y14" s="126" t="s">
        <v>126</v>
      </c>
      <c r="Z14" s="126" t="s">
        <v>127</v>
      </c>
      <c r="AA14" s="126" t="s">
        <v>128</v>
      </c>
    </row>
    <row r="15" spans="1:27" ht="15.75" customHeight="1" x14ac:dyDescent="0.2">
      <c r="A15" s="22" t="str">
        <f t="shared" ref="A15:A24" si="0">INDEX(Tierart,$T15)</f>
        <v>--</v>
      </c>
      <c r="B15" s="25" t="str">
        <f t="shared" ref="B15:B24" si="1">IF($T15=1," --",INDEX(Weide,$U15))</f>
        <v xml:space="preserve"> --</v>
      </c>
      <c r="C15" s="322">
        <v>0</v>
      </c>
      <c r="D15" s="327"/>
      <c r="E15" s="327"/>
      <c r="F15" s="322">
        <v>0</v>
      </c>
      <c r="G15" s="323"/>
      <c r="H15" s="327">
        <v>0</v>
      </c>
      <c r="I15" s="327"/>
      <c r="J15" s="312">
        <f t="shared" ref="J15:J24" si="2">($C15+$F15+$H15)*X15</f>
        <v>0</v>
      </c>
      <c r="K15" s="313"/>
      <c r="L15" s="314"/>
      <c r="M15" s="312">
        <f t="shared" ref="M15:M24" si="3">($C15*$V15/2)+($F15*$W15/2)</f>
        <v>0</v>
      </c>
      <c r="N15" s="313"/>
      <c r="O15" s="314"/>
      <c r="P15" s="312">
        <f t="shared" ref="P15:P24" si="4">IF($U15=1,($C15*$V15/12)*9,IF($U15=2,($C15*$V15/12)*7,$C15*$V15/12*8))+IF($U15=1,($F15*$W15/12)*9,IF($U15=2,($F15*$W15/12)*7,$F15*$W15/12*8))</f>
        <v>0</v>
      </c>
      <c r="Q15" s="313"/>
      <c r="R15" s="314"/>
      <c r="S15" s="2">
        <v>1</v>
      </c>
      <c r="T15" s="1">
        <v>1</v>
      </c>
      <c r="U15" s="1">
        <v>1</v>
      </c>
      <c r="V15" s="30">
        <f>INDEX(Gülleanfall,'GV-Berechnung-Gülleanfall'!$T15)</f>
        <v>0</v>
      </c>
      <c r="W15" s="30">
        <f>INDEX(Jaucheanfall,'GV-Berechnung-Gülleanfall'!$T15)</f>
        <v>0</v>
      </c>
      <c r="X15" s="30">
        <f>INDEX(GVE,'GV-Berechnung-Gülleanfall'!$T15)</f>
        <v>0</v>
      </c>
      <c r="Y15" s="30">
        <f>IF($U15=1,($C15*$V15/12)*12,IF($U15=2,($C15*$V15/12)*7,$C15*$V15/12*9.5))+IF($U15=1,($F15*$W15/12)*12,IF($U15=2,($F15*$W15/12)*7,$F15*$W15/12*9.5))</f>
        <v>0</v>
      </c>
      <c r="Z15" s="30">
        <f>INDEX(Mistanfall,'GV-Berechnung-Gülleanfall'!$T15)</f>
        <v>0</v>
      </c>
      <c r="AA15" s="2">
        <f>INDEX(MistDichte,'GV-Berechnung-Gülleanfall'!$T15)</f>
        <v>0</v>
      </c>
    </row>
    <row r="16" spans="1:27" ht="15.75" customHeight="1" x14ac:dyDescent="0.2">
      <c r="A16" s="75" t="str">
        <f t="shared" si="0"/>
        <v>--</v>
      </c>
      <c r="B16" s="76" t="str">
        <f t="shared" si="1"/>
        <v xml:space="preserve"> --</v>
      </c>
      <c r="C16" s="338">
        <v>0</v>
      </c>
      <c r="D16" s="337"/>
      <c r="E16" s="339"/>
      <c r="F16" s="338">
        <v>0</v>
      </c>
      <c r="G16" s="339"/>
      <c r="H16" s="337">
        <v>0</v>
      </c>
      <c r="I16" s="337"/>
      <c r="J16" s="330">
        <f t="shared" si="2"/>
        <v>0</v>
      </c>
      <c r="K16" s="331"/>
      <c r="L16" s="332"/>
      <c r="M16" s="330">
        <f t="shared" si="3"/>
        <v>0</v>
      </c>
      <c r="N16" s="331"/>
      <c r="O16" s="332"/>
      <c r="P16" s="330">
        <f t="shared" si="4"/>
        <v>0</v>
      </c>
      <c r="Q16" s="331"/>
      <c r="R16" s="332"/>
      <c r="S16" s="2">
        <v>1</v>
      </c>
      <c r="T16" s="31">
        <v>1</v>
      </c>
      <c r="U16" s="1">
        <v>1</v>
      </c>
      <c r="V16" s="30">
        <f>INDEX(Gülleanfall,'GV-Berechnung-Gülleanfall'!$T16)</f>
        <v>0</v>
      </c>
      <c r="W16" s="30">
        <f>INDEX(Jaucheanfall,'GV-Berechnung-Gülleanfall'!$T16)</f>
        <v>0</v>
      </c>
      <c r="X16" s="30">
        <f>INDEX(GVE,'GV-Berechnung-Gülleanfall'!$T16)</f>
        <v>0</v>
      </c>
      <c r="Y16" s="30">
        <f t="shared" ref="Y16:Y24" si="5">IF($U16=1,($C16*$V16/12)*12,IF($U16=2,($C16*$V16/12)*7,$C16*$V16/12*9.5))+IF($U16=1,($F16*$W16/12)*12,IF($U16=2,($F16*$W16/12)*7,$F16*$W16/12*9.5))</f>
        <v>0</v>
      </c>
      <c r="Z16" s="30">
        <f>INDEX(Mistanfall,'GV-Berechnung-Gülleanfall'!$T16)</f>
        <v>0</v>
      </c>
      <c r="AA16" s="2">
        <f>INDEX(MistDichte,'GV-Berechnung-Gülleanfall'!$T16)</f>
        <v>0</v>
      </c>
    </row>
    <row r="17" spans="1:27" ht="15.75" customHeight="1" x14ac:dyDescent="0.2">
      <c r="A17" s="75" t="str">
        <f t="shared" si="0"/>
        <v>--</v>
      </c>
      <c r="B17" s="76" t="str">
        <f t="shared" si="1"/>
        <v xml:space="preserve"> --</v>
      </c>
      <c r="C17" s="338">
        <v>0</v>
      </c>
      <c r="D17" s="337"/>
      <c r="E17" s="339"/>
      <c r="F17" s="338">
        <v>0</v>
      </c>
      <c r="G17" s="339"/>
      <c r="H17" s="337">
        <v>0</v>
      </c>
      <c r="I17" s="337"/>
      <c r="J17" s="330">
        <f t="shared" si="2"/>
        <v>0</v>
      </c>
      <c r="K17" s="331"/>
      <c r="L17" s="332"/>
      <c r="M17" s="330">
        <f t="shared" si="3"/>
        <v>0</v>
      </c>
      <c r="N17" s="331"/>
      <c r="O17" s="332"/>
      <c r="P17" s="330">
        <f t="shared" si="4"/>
        <v>0</v>
      </c>
      <c r="Q17" s="331"/>
      <c r="R17" s="332"/>
      <c r="S17" s="2">
        <v>1</v>
      </c>
      <c r="T17" s="1">
        <v>1</v>
      </c>
      <c r="U17" s="1">
        <v>1</v>
      </c>
      <c r="V17" s="30">
        <f>INDEX(Gülleanfall,'GV-Berechnung-Gülleanfall'!$T17)</f>
        <v>0</v>
      </c>
      <c r="W17" s="30">
        <f>INDEX(Jaucheanfall,'GV-Berechnung-Gülleanfall'!$T17)</f>
        <v>0</v>
      </c>
      <c r="X17" s="30">
        <f>INDEX(GVE,'GV-Berechnung-Gülleanfall'!$T17)</f>
        <v>0</v>
      </c>
      <c r="Y17" s="30">
        <f t="shared" si="5"/>
        <v>0</v>
      </c>
      <c r="Z17" s="30">
        <f>INDEX(Mistanfall,'GV-Berechnung-Gülleanfall'!$T17)</f>
        <v>0</v>
      </c>
      <c r="AA17" s="2">
        <f>INDEX(MistDichte,'GV-Berechnung-Gülleanfall'!$T17)</f>
        <v>0</v>
      </c>
    </row>
    <row r="18" spans="1:27" ht="15.75" customHeight="1" x14ac:dyDescent="0.2">
      <c r="A18" s="75" t="str">
        <f t="shared" si="0"/>
        <v>--</v>
      </c>
      <c r="B18" s="76" t="str">
        <f t="shared" si="1"/>
        <v xml:space="preserve"> --</v>
      </c>
      <c r="C18" s="338">
        <v>0</v>
      </c>
      <c r="D18" s="337"/>
      <c r="E18" s="339"/>
      <c r="F18" s="338">
        <v>0</v>
      </c>
      <c r="G18" s="339"/>
      <c r="H18" s="337">
        <v>0</v>
      </c>
      <c r="I18" s="337"/>
      <c r="J18" s="330">
        <f t="shared" si="2"/>
        <v>0</v>
      </c>
      <c r="K18" s="331"/>
      <c r="L18" s="332"/>
      <c r="M18" s="330">
        <f t="shared" si="3"/>
        <v>0</v>
      </c>
      <c r="N18" s="331"/>
      <c r="O18" s="332"/>
      <c r="P18" s="330">
        <f t="shared" si="4"/>
        <v>0</v>
      </c>
      <c r="Q18" s="331"/>
      <c r="R18" s="332"/>
      <c r="S18" s="2">
        <v>1</v>
      </c>
      <c r="T18" s="1">
        <v>1</v>
      </c>
      <c r="U18" s="1">
        <v>1</v>
      </c>
      <c r="V18" s="30">
        <f>INDEX(Gülleanfall,'GV-Berechnung-Gülleanfall'!$T18)</f>
        <v>0</v>
      </c>
      <c r="W18" s="30">
        <f>INDEX(Jaucheanfall,'GV-Berechnung-Gülleanfall'!$T18)</f>
        <v>0</v>
      </c>
      <c r="X18" s="30">
        <f>INDEX(GVE,'GV-Berechnung-Gülleanfall'!$T18)</f>
        <v>0</v>
      </c>
      <c r="Y18" s="30">
        <f t="shared" si="5"/>
        <v>0</v>
      </c>
      <c r="Z18" s="30">
        <f>INDEX(Mistanfall,'GV-Berechnung-Gülleanfall'!$T18)</f>
        <v>0</v>
      </c>
      <c r="AA18" s="2">
        <f>INDEX(MistDichte,'GV-Berechnung-Gülleanfall'!$T18)</f>
        <v>0</v>
      </c>
    </row>
    <row r="19" spans="1:27" ht="15.75" customHeight="1" x14ac:dyDescent="0.2">
      <c r="A19" s="75" t="str">
        <f t="shared" si="0"/>
        <v>--</v>
      </c>
      <c r="B19" s="76" t="str">
        <f t="shared" si="1"/>
        <v xml:space="preserve"> --</v>
      </c>
      <c r="C19" s="338">
        <v>0</v>
      </c>
      <c r="D19" s="337"/>
      <c r="E19" s="339"/>
      <c r="F19" s="338">
        <v>0</v>
      </c>
      <c r="G19" s="339"/>
      <c r="H19" s="337">
        <v>0</v>
      </c>
      <c r="I19" s="337"/>
      <c r="J19" s="330">
        <f t="shared" si="2"/>
        <v>0</v>
      </c>
      <c r="K19" s="331"/>
      <c r="L19" s="332"/>
      <c r="M19" s="330">
        <f t="shared" si="3"/>
        <v>0</v>
      </c>
      <c r="N19" s="331"/>
      <c r="O19" s="332"/>
      <c r="P19" s="330">
        <f t="shared" si="4"/>
        <v>0</v>
      </c>
      <c r="Q19" s="331"/>
      <c r="R19" s="332"/>
      <c r="S19" s="2">
        <v>1</v>
      </c>
      <c r="T19" s="1">
        <v>1</v>
      </c>
      <c r="U19" s="1">
        <v>1</v>
      </c>
      <c r="V19" s="30">
        <f>INDEX(Gülleanfall,'GV-Berechnung-Gülleanfall'!$T19)</f>
        <v>0</v>
      </c>
      <c r="W19" s="30">
        <f>INDEX(Jaucheanfall,'GV-Berechnung-Gülleanfall'!$T19)</f>
        <v>0</v>
      </c>
      <c r="X19" s="30">
        <f>INDEX(GVE,'GV-Berechnung-Gülleanfall'!$T19)</f>
        <v>0</v>
      </c>
      <c r="Y19" s="30">
        <f t="shared" si="5"/>
        <v>0</v>
      </c>
      <c r="Z19" s="30">
        <f>INDEX(Mistanfall,'GV-Berechnung-Gülleanfall'!$T19)</f>
        <v>0</v>
      </c>
      <c r="AA19" s="2">
        <f>INDEX(MistDichte,'GV-Berechnung-Gülleanfall'!$T19)</f>
        <v>0</v>
      </c>
    </row>
    <row r="20" spans="1:27" ht="15.75" customHeight="1" x14ac:dyDescent="0.2">
      <c r="A20" s="75" t="str">
        <f t="shared" si="0"/>
        <v>--</v>
      </c>
      <c r="B20" s="76" t="str">
        <f t="shared" si="1"/>
        <v xml:space="preserve"> --</v>
      </c>
      <c r="C20" s="338">
        <v>0</v>
      </c>
      <c r="D20" s="337"/>
      <c r="E20" s="339"/>
      <c r="F20" s="338">
        <v>0</v>
      </c>
      <c r="G20" s="339"/>
      <c r="H20" s="337">
        <v>0</v>
      </c>
      <c r="I20" s="337"/>
      <c r="J20" s="330">
        <f t="shared" si="2"/>
        <v>0</v>
      </c>
      <c r="K20" s="331"/>
      <c r="L20" s="332"/>
      <c r="M20" s="330">
        <f t="shared" si="3"/>
        <v>0</v>
      </c>
      <c r="N20" s="331"/>
      <c r="O20" s="332"/>
      <c r="P20" s="330">
        <f t="shared" si="4"/>
        <v>0</v>
      </c>
      <c r="Q20" s="331"/>
      <c r="R20" s="332"/>
      <c r="S20" s="2">
        <v>1</v>
      </c>
      <c r="T20" s="31">
        <v>1</v>
      </c>
      <c r="U20" s="1">
        <v>1</v>
      </c>
      <c r="V20" s="30">
        <f>INDEX(Gülleanfall,'GV-Berechnung-Gülleanfall'!$T20)</f>
        <v>0</v>
      </c>
      <c r="W20" s="30">
        <f>INDEX(Jaucheanfall,'GV-Berechnung-Gülleanfall'!$T20)</f>
        <v>0</v>
      </c>
      <c r="X20" s="30">
        <f>INDEX(GVE,'GV-Berechnung-Gülleanfall'!$T20)</f>
        <v>0</v>
      </c>
      <c r="Y20" s="30">
        <f t="shared" si="5"/>
        <v>0</v>
      </c>
      <c r="Z20" s="30">
        <f>INDEX(Mistanfall,'GV-Berechnung-Gülleanfall'!$T20)</f>
        <v>0</v>
      </c>
      <c r="AA20" s="2">
        <f>INDEX(MistDichte,'GV-Berechnung-Gülleanfall'!$T20)</f>
        <v>0</v>
      </c>
    </row>
    <row r="21" spans="1:27" ht="15.75" customHeight="1" x14ac:dyDescent="0.2">
      <c r="A21" s="75" t="str">
        <f t="shared" si="0"/>
        <v>--</v>
      </c>
      <c r="B21" s="76" t="str">
        <f t="shared" si="1"/>
        <v xml:space="preserve"> --</v>
      </c>
      <c r="C21" s="338">
        <v>0</v>
      </c>
      <c r="D21" s="337"/>
      <c r="E21" s="339"/>
      <c r="F21" s="338">
        <v>0</v>
      </c>
      <c r="G21" s="339"/>
      <c r="H21" s="337">
        <v>0</v>
      </c>
      <c r="I21" s="337"/>
      <c r="J21" s="330">
        <f t="shared" si="2"/>
        <v>0</v>
      </c>
      <c r="K21" s="331"/>
      <c r="L21" s="332"/>
      <c r="M21" s="330">
        <f t="shared" si="3"/>
        <v>0</v>
      </c>
      <c r="N21" s="331"/>
      <c r="O21" s="332"/>
      <c r="P21" s="330">
        <f t="shared" si="4"/>
        <v>0</v>
      </c>
      <c r="Q21" s="331"/>
      <c r="R21" s="332"/>
      <c r="S21" s="2">
        <v>1</v>
      </c>
      <c r="T21" s="1">
        <v>1</v>
      </c>
      <c r="U21" s="1">
        <v>1</v>
      </c>
      <c r="V21" s="30">
        <f>INDEX(Gülleanfall,'GV-Berechnung-Gülleanfall'!$T21)</f>
        <v>0</v>
      </c>
      <c r="W21" s="30">
        <f>INDEX(Jaucheanfall,'GV-Berechnung-Gülleanfall'!$T21)</f>
        <v>0</v>
      </c>
      <c r="X21" s="30">
        <f>INDEX(GVE,'GV-Berechnung-Gülleanfall'!$T21)</f>
        <v>0</v>
      </c>
      <c r="Y21" s="30">
        <f t="shared" si="5"/>
        <v>0</v>
      </c>
      <c r="Z21" s="30">
        <f>INDEX(Mistanfall,'GV-Berechnung-Gülleanfall'!$T21)</f>
        <v>0</v>
      </c>
      <c r="AA21" s="2">
        <f>INDEX(MistDichte,'GV-Berechnung-Gülleanfall'!$T21)</f>
        <v>0</v>
      </c>
    </row>
    <row r="22" spans="1:27" ht="15.75" customHeight="1" x14ac:dyDescent="0.2">
      <c r="A22" s="75" t="str">
        <f t="shared" si="0"/>
        <v>--</v>
      </c>
      <c r="B22" s="76" t="str">
        <f t="shared" si="1"/>
        <v xml:space="preserve"> --</v>
      </c>
      <c r="C22" s="338">
        <v>0</v>
      </c>
      <c r="D22" s="337"/>
      <c r="E22" s="339"/>
      <c r="F22" s="338">
        <v>0</v>
      </c>
      <c r="G22" s="339"/>
      <c r="H22" s="337">
        <v>0</v>
      </c>
      <c r="I22" s="337"/>
      <c r="J22" s="330">
        <f t="shared" si="2"/>
        <v>0</v>
      </c>
      <c r="K22" s="331"/>
      <c r="L22" s="332"/>
      <c r="M22" s="330">
        <f t="shared" si="3"/>
        <v>0</v>
      </c>
      <c r="N22" s="331"/>
      <c r="O22" s="332"/>
      <c r="P22" s="330">
        <f t="shared" si="4"/>
        <v>0</v>
      </c>
      <c r="Q22" s="331"/>
      <c r="R22" s="332"/>
      <c r="S22" s="2">
        <v>1</v>
      </c>
      <c r="T22" s="1">
        <v>1</v>
      </c>
      <c r="U22" s="1">
        <v>1</v>
      </c>
      <c r="V22" s="30">
        <f>INDEX(Gülleanfall,'GV-Berechnung-Gülleanfall'!$T22)</f>
        <v>0</v>
      </c>
      <c r="W22" s="30">
        <f>INDEX(Jaucheanfall,'GV-Berechnung-Gülleanfall'!$T22)</f>
        <v>0</v>
      </c>
      <c r="X22" s="30">
        <f>INDEX(GVE,'GV-Berechnung-Gülleanfall'!$T22)</f>
        <v>0</v>
      </c>
      <c r="Y22" s="30">
        <f t="shared" si="5"/>
        <v>0</v>
      </c>
      <c r="Z22" s="30">
        <f>INDEX(Mistanfall,'GV-Berechnung-Gülleanfall'!$T22)</f>
        <v>0</v>
      </c>
      <c r="AA22" s="2">
        <f>INDEX(MistDichte,'GV-Berechnung-Gülleanfall'!$T22)</f>
        <v>0</v>
      </c>
    </row>
    <row r="23" spans="1:27" ht="15.75" customHeight="1" x14ac:dyDescent="0.2">
      <c r="A23" s="75" t="str">
        <f t="shared" si="0"/>
        <v>--</v>
      </c>
      <c r="B23" s="76" t="str">
        <f t="shared" si="1"/>
        <v xml:space="preserve"> --</v>
      </c>
      <c r="C23" s="338">
        <v>0</v>
      </c>
      <c r="D23" s="337"/>
      <c r="E23" s="339"/>
      <c r="F23" s="338">
        <v>0</v>
      </c>
      <c r="G23" s="339"/>
      <c r="H23" s="337">
        <v>0</v>
      </c>
      <c r="I23" s="337"/>
      <c r="J23" s="330">
        <f t="shared" si="2"/>
        <v>0</v>
      </c>
      <c r="K23" s="331"/>
      <c r="L23" s="332"/>
      <c r="M23" s="330">
        <f t="shared" si="3"/>
        <v>0</v>
      </c>
      <c r="N23" s="331"/>
      <c r="O23" s="332"/>
      <c r="P23" s="330">
        <f t="shared" si="4"/>
        <v>0</v>
      </c>
      <c r="Q23" s="331"/>
      <c r="R23" s="332"/>
      <c r="S23" s="2">
        <v>1</v>
      </c>
      <c r="T23" s="1">
        <v>1</v>
      </c>
      <c r="U23" s="1">
        <v>1</v>
      </c>
      <c r="V23" s="30">
        <f>INDEX(Gülleanfall,'GV-Berechnung-Gülleanfall'!$T23)</f>
        <v>0</v>
      </c>
      <c r="W23" s="30">
        <f>INDEX(Jaucheanfall,'GV-Berechnung-Gülleanfall'!$T23)</f>
        <v>0</v>
      </c>
      <c r="X23" s="30">
        <f>INDEX(GVE,'GV-Berechnung-Gülleanfall'!$T23)</f>
        <v>0</v>
      </c>
      <c r="Y23" s="30">
        <f t="shared" si="5"/>
        <v>0</v>
      </c>
      <c r="Z23" s="30">
        <f>INDEX(Mistanfall,'GV-Berechnung-Gülleanfall'!$T23)</f>
        <v>0</v>
      </c>
      <c r="AA23" s="2">
        <f>INDEX(MistDichte,'GV-Berechnung-Gülleanfall'!$T23)</f>
        <v>0</v>
      </c>
    </row>
    <row r="24" spans="1:27" ht="15.75" customHeight="1" x14ac:dyDescent="0.2">
      <c r="A24" s="22" t="str">
        <f t="shared" si="0"/>
        <v>--</v>
      </c>
      <c r="B24" s="25" t="str">
        <f t="shared" si="1"/>
        <v xml:space="preserve"> --</v>
      </c>
      <c r="C24" s="341">
        <v>0</v>
      </c>
      <c r="D24" s="336"/>
      <c r="E24" s="336"/>
      <c r="F24" s="341">
        <v>0</v>
      </c>
      <c r="G24" s="342"/>
      <c r="H24" s="336">
        <v>0</v>
      </c>
      <c r="I24" s="336"/>
      <c r="J24" s="333">
        <f t="shared" si="2"/>
        <v>0</v>
      </c>
      <c r="K24" s="334"/>
      <c r="L24" s="335"/>
      <c r="M24" s="333">
        <f t="shared" si="3"/>
        <v>0</v>
      </c>
      <c r="N24" s="334"/>
      <c r="O24" s="335"/>
      <c r="P24" s="333">
        <f t="shared" si="4"/>
        <v>0</v>
      </c>
      <c r="Q24" s="334"/>
      <c r="R24" s="335"/>
      <c r="S24" s="2">
        <v>1</v>
      </c>
      <c r="T24" s="31">
        <v>1</v>
      </c>
      <c r="U24" s="1">
        <v>1</v>
      </c>
      <c r="V24" s="30">
        <f>INDEX(Gülleanfall,'GV-Berechnung-Gülleanfall'!$T24)</f>
        <v>0</v>
      </c>
      <c r="W24" s="30">
        <f>INDEX(Jaucheanfall,'GV-Berechnung-Gülleanfall'!$T24)</f>
        <v>0</v>
      </c>
      <c r="X24" s="30">
        <f>INDEX(GVE,'GV-Berechnung-Gülleanfall'!$T24)</f>
        <v>0</v>
      </c>
      <c r="Y24" s="30">
        <f t="shared" si="5"/>
        <v>0</v>
      </c>
      <c r="Z24" s="30">
        <f>INDEX(Mistanfall,'GV-Berechnung-Gülleanfall'!$T24)</f>
        <v>0</v>
      </c>
      <c r="AA24" s="2">
        <f>INDEX(MistDichte,'GV-Berechnung-Gülleanfall'!$T24)</f>
        <v>0</v>
      </c>
    </row>
    <row r="25" spans="1:27" ht="15.75" customHeight="1" x14ac:dyDescent="0.2">
      <c r="A25" s="79" t="s">
        <v>26</v>
      </c>
      <c r="B25" s="26"/>
      <c r="C25" s="27"/>
      <c r="D25" s="27"/>
      <c r="E25" s="27"/>
      <c r="F25" s="27"/>
      <c r="G25" s="27"/>
      <c r="H25" s="27"/>
      <c r="I25" s="27"/>
      <c r="J25" s="305">
        <f>SUM(J15:L24)</f>
        <v>0</v>
      </c>
      <c r="K25" s="351"/>
      <c r="L25" s="352"/>
      <c r="M25" s="297"/>
      <c r="N25" s="298"/>
      <c r="O25" s="299"/>
      <c r="P25" s="297"/>
      <c r="Q25" s="298"/>
      <c r="R25" s="299"/>
      <c r="S25" s="2"/>
      <c r="T25" s="31"/>
      <c r="U25" s="1"/>
      <c r="V25" s="1"/>
      <c r="W25" s="1"/>
      <c r="X25" s="1"/>
    </row>
    <row r="26" spans="1:27" ht="15.75" customHeight="1" x14ac:dyDescent="0.2">
      <c r="A26" s="79" t="s">
        <v>25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305">
        <f>SUM(M15:O25)</f>
        <v>0</v>
      </c>
      <c r="N26" s="306"/>
      <c r="O26" s="307"/>
      <c r="P26" s="305">
        <f>SUM(P15:R25)</f>
        <v>0</v>
      </c>
      <c r="Q26" s="306"/>
      <c r="R26" s="307"/>
      <c r="S26" s="2"/>
      <c r="Y26" s="30">
        <f>SUM(Y15:Y25)</f>
        <v>0</v>
      </c>
    </row>
    <row r="27" spans="1:27" ht="9" customHeight="1" x14ac:dyDescent="0.2">
      <c r="M27" s="300"/>
      <c r="N27" s="301"/>
      <c r="O27" s="302"/>
      <c r="P27" s="300"/>
      <c r="Q27" s="301"/>
      <c r="R27" s="302"/>
      <c r="T27" s="12"/>
    </row>
    <row r="28" spans="1:27" ht="15.75" customHeight="1" x14ac:dyDescent="0.2">
      <c r="A28" s="33" t="s">
        <v>42</v>
      </c>
      <c r="B28" s="40" t="s">
        <v>43</v>
      </c>
      <c r="C28" s="41"/>
      <c r="D28" s="41"/>
      <c r="E28" s="41"/>
      <c r="F28" s="41"/>
      <c r="G28" s="41"/>
      <c r="H28" s="41"/>
      <c r="I28" s="41"/>
      <c r="J28" s="291">
        <v>700</v>
      </c>
      <c r="K28" s="292"/>
      <c r="L28" s="293"/>
      <c r="M28" s="231"/>
      <c r="N28" s="226"/>
      <c r="O28" s="227"/>
      <c r="P28" s="226"/>
      <c r="Q28" s="226"/>
      <c r="R28" s="227"/>
      <c r="T28" s="12"/>
    </row>
    <row r="29" spans="1:27" ht="15.75" customHeight="1" x14ac:dyDescent="0.2">
      <c r="A29" s="82" t="s">
        <v>50</v>
      </c>
      <c r="B29" s="51" t="s">
        <v>33</v>
      </c>
      <c r="C29" s="225" t="s">
        <v>28</v>
      </c>
      <c r="D29" s="226"/>
      <c r="E29" s="227"/>
      <c r="F29" s="225" t="s">
        <v>40</v>
      </c>
      <c r="G29" s="226"/>
      <c r="H29" s="227"/>
      <c r="I29" s="35"/>
      <c r="J29" s="35"/>
      <c r="K29" s="35"/>
      <c r="L29" s="35"/>
      <c r="M29" s="303"/>
      <c r="N29" s="247"/>
      <c r="O29" s="248"/>
      <c r="P29" s="247"/>
      <c r="Q29" s="247"/>
      <c r="R29" s="248"/>
    </row>
    <row r="30" spans="1:27" ht="15.75" customHeight="1" x14ac:dyDescent="0.2">
      <c r="A30" s="39" t="s">
        <v>27</v>
      </c>
      <c r="B30" s="46" t="s">
        <v>34</v>
      </c>
      <c r="C30" s="246" t="s">
        <v>54</v>
      </c>
      <c r="D30" s="247"/>
      <c r="E30" s="248"/>
      <c r="F30" s="228" t="s">
        <v>41</v>
      </c>
      <c r="G30" s="229"/>
      <c r="H30" s="230"/>
      <c r="I30" s="38"/>
      <c r="J30" s="38"/>
      <c r="K30" s="38"/>
      <c r="L30" s="38"/>
      <c r="M30" s="304"/>
      <c r="N30" s="229"/>
      <c r="O30" s="230"/>
      <c r="P30" s="229"/>
      <c r="Q30" s="229"/>
      <c r="R30" s="230"/>
    </row>
    <row r="31" spans="1:27" ht="15.75" customHeight="1" x14ac:dyDescent="0.2">
      <c r="A31" s="47"/>
      <c r="B31" s="90"/>
      <c r="C31" s="249">
        <v>0</v>
      </c>
      <c r="D31" s="250"/>
      <c r="E31" s="251"/>
      <c r="F31" s="231"/>
      <c r="G31" s="226"/>
      <c r="H31" s="227"/>
      <c r="I31" s="35"/>
      <c r="J31" s="35"/>
      <c r="K31" s="35"/>
      <c r="L31" s="35"/>
      <c r="M31" s="238">
        <f>IFERROR($J$28*$C31/1000*0.7/12*6,0)</f>
        <v>0</v>
      </c>
      <c r="N31" s="239"/>
      <c r="O31" s="240"/>
      <c r="P31" s="239">
        <f>IFERROR($J$28*C31/1000*0.7/12*9,0)</f>
        <v>0</v>
      </c>
      <c r="Q31" s="239"/>
      <c r="R31" s="240"/>
      <c r="Y31" t="str">
        <f>IF($C31&gt;1,$J$28*$C31/1000*0.7/12*12,"")</f>
        <v/>
      </c>
    </row>
    <row r="32" spans="1:27" ht="15.75" customHeight="1" x14ac:dyDescent="0.2">
      <c r="A32" s="45">
        <v>0</v>
      </c>
      <c r="B32" s="50"/>
      <c r="C32" s="252">
        <v>0</v>
      </c>
      <c r="D32" s="253"/>
      <c r="E32" s="254"/>
      <c r="F32" s="232"/>
      <c r="G32" s="233"/>
      <c r="H32" s="234"/>
      <c r="I32" s="44"/>
      <c r="J32" s="44"/>
      <c r="K32" s="44"/>
      <c r="L32" s="44"/>
      <c r="M32" s="238">
        <f t="shared" ref="M32:M34" si="6">IFERROR($J$28*$C32/1000*0.7/12*6,0)</f>
        <v>0</v>
      </c>
      <c r="N32" s="239"/>
      <c r="O32" s="240"/>
      <c r="P32" s="239">
        <f t="shared" ref="P32:P34" si="7">IFERROR($J$28*C32/1000*0.7/12*9,0)</f>
        <v>0</v>
      </c>
      <c r="Q32" s="239"/>
      <c r="R32" s="240"/>
      <c r="Y32" t="str">
        <f t="shared" ref="Y32:Y34" si="8">IF($C32&gt;1,$J$28*$C32/1000*0.7/12*12,"")</f>
        <v/>
      </c>
    </row>
    <row r="33" spans="1:25" ht="15.75" customHeight="1" x14ac:dyDescent="0.2">
      <c r="A33" s="45"/>
      <c r="B33" s="50"/>
      <c r="C33" s="252">
        <v>0</v>
      </c>
      <c r="D33" s="253"/>
      <c r="E33" s="254"/>
      <c r="F33" s="232"/>
      <c r="G33" s="233"/>
      <c r="H33" s="234"/>
      <c r="I33" s="44"/>
      <c r="J33" s="44"/>
      <c r="K33" s="44"/>
      <c r="L33" s="44"/>
      <c r="M33" s="238">
        <f t="shared" si="6"/>
        <v>0</v>
      </c>
      <c r="N33" s="239"/>
      <c r="O33" s="240"/>
      <c r="P33" s="239">
        <f t="shared" si="7"/>
        <v>0</v>
      </c>
      <c r="Q33" s="239"/>
      <c r="R33" s="240"/>
      <c r="Y33" t="str">
        <f t="shared" si="8"/>
        <v/>
      </c>
    </row>
    <row r="34" spans="1:25" ht="15.75" customHeight="1" x14ac:dyDescent="0.2">
      <c r="A34" s="83"/>
      <c r="B34" s="91"/>
      <c r="C34" s="255">
        <v>0</v>
      </c>
      <c r="D34" s="256"/>
      <c r="E34" s="257"/>
      <c r="F34" s="235"/>
      <c r="G34" s="236"/>
      <c r="H34" s="237"/>
      <c r="I34" s="84"/>
      <c r="J34" s="84"/>
      <c r="K34" s="84"/>
      <c r="L34" s="84"/>
      <c r="M34" s="238">
        <f t="shared" si="6"/>
        <v>0</v>
      </c>
      <c r="N34" s="239"/>
      <c r="O34" s="240"/>
      <c r="P34" s="239">
        <f t="shared" si="7"/>
        <v>0</v>
      </c>
      <c r="Q34" s="239"/>
      <c r="R34" s="240"/>
      <c r="Y34" t="str">
        <f t="shared" si="8"/>
        <v/>
      </c>
    </row>
    <row r="35" spans="1:25" ht="15.75" customHeight="1" x14ac:dyDescent="0.2">
      <c r="A35" s="48" t="s">
        <v>40</v>
      </c>
      <c r="B35" s="85"/>
      <c r="C35" s="267"/>
      <c r="D35" s="268"/>
      <c r="E35" s="269"/>
      <c r="F35" s="270">
        <v>0</v>
      </c>
      <c r="G35" s="271"/>
      <c r="H35" s="272"/>
      <c r="I35" s="86"/>
      <c r="J35" s="86"/>
      <c r="K35" s="86"/>
      <c r="L35" s="86"/>
      <c r="M35" s="222">
        <f>F35/12*6</f>
        <v>0</v>
      </c>
      <c r="N35" s="223"/>
      <c r="O35" s="224"/>
      <c r="P35" s="222">
        <f>$F35/12*9</f>
        <v>0</v>
      </c>
      <c r="Q35" s="223"/>
      <c r="R35" s="224"/>
      <c r="Y35">
        <f>$F35/12*12</f>
        <v>0</v>
      </c>
    </row>
    <row r="36" spans="1:25" ht="15.75" customHeight="1" x14ac:dyDescent="0.2">
      <c r="A36" s="80"/>
      <c r="B36" s="81"/>
      <c r="C36" s="273">
        <v>0</v>
      </c>
      <c r="D36" s="274"/>
      <c r="E36" s="275"/>
      <c r="F36" s="264"/>
      <c r="G36" s="265"/>
      <c r="H36" s="266"/>
      <c r="I36" s="38"/>
      <c r="J36" s="38"/>
      <c r="K36" s="38"/>
      <c r="L36" s="38"/>
      <c r="M36" s="261">
        <f>F36/12*6</f>
        <v>0</v>
      </c>
      <c r="N36" s="262"/>
      <c r="O36" s="263"/>
      <c r="P36" s="261">
        <f>F36/12*9</f>
        <v>0</v>
      </c>
      <c r="Q36" s="262"/>
      <c r="R36" s="263"/>
      <c r="Y36">
        <f>$F36/12*12</f>
        <v>0</v>
      </c>
    </row>
    <row r="37" spans="1:25" ht="15.75" customHeight="1" x14ac:dyDescent="0.2">
      <c r="A37" s="43" t="s">
        <v>29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79">
        <f>SUM(M26:O36)</f>
        <v>0</v>
      </c>
      <c r="N37" s="280"/>
      <c r="O37" s="281"/>
      <c r="P37" s="280">
        <f>SUM(P26:X36)</f>
        <v>0</v>
      </c>
      <c r="Q37" s="280"/>
      <c r="R37" s="281"/>
      <c r="Y37">
        <f>SUM(Y31:Y36)</f>
        <v>0</v>
      </c>
    </row>
    <row r="38" spans="1:25" ht="9" customHeight="1" x14ac:dyDescent="0.2"/>
    <row r="39" spans="1:25" ht="15.75" customHeight="1" x14ac:dyDescent="0.2">
      <c r="A39" s="33" t="s">
        <v>51</v>
      </c>
      <c r="B39" s="49"/>
      <c r="C39" s="225" t="s">
        <v>39</v>
      </c>
      <c r="D39" s="294"/>
      <c r="E39" s="295"/>
      <c r="F39" s="34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Y39">
        <f>Y37+Y26</f>
        <v>0</v>
      </c>
    </row>
    <row r="40" spans="1:25" ht="15.75" customHeight="1" x14ac:dyDescent="0.2">
      <c r="A40" s="36"/>
      <c r="B40" s="51" t="s">
        <v>33</v>
      </c>
      <c r="C40" s="246" t="s">
        <v>52</v>
      </c>
      <c r="D40" s="258"/>
      <c r="E40" s="259"/>
      <c r="F40" s="34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</row>
    <row r="41" spans="1:25" ht="15.75" customHeight="1" x14ac:dyDescent="0.2">
      <c r="A41" s="36" t="s">
        <v>32</v>
      </c>
      <c r="B41" s="51" t="s">
        <v>34</v>
      </c>
      <c r="C41" s="246" t="s">
        <v>30</v>
      </c>
      <c r="D41" s="258"/>
      <c r="E41" s="259"/>
      <c r="F41" s="34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</row>
    <row r="42" spans="1:25" ht="15.75" customHeight="1" x14ac:dyDescent="0.2">
      <c r="A42" s="48"/>
      <c r="B42" s="89"/>
      <c r="C42" s="282">
        <v>0</v>
      </c>
      <c r="D42" s="283"/>
      <c r="E42" s="284"/>
      <c r="F42" s="3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</row>
    <row r="43" spans="1:25" ht="15.75" customHeight="1" x14ac:dyDescent="0.2">
      <c r="A43" s="45"/>
      <c r="B43" s="50"/>
      <c r="C43" s="285">
        <v>0</v>
      </c>
      <c r="D43" s="286"/>
      <c r="E43" s="287"/>
      <c r="F43" s="3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</row>
    <row r="44" spans="1:25" ht="15.75" customHeight="1" x14ac:dyDescent="0.2">
      <c r="A44" s="45"/>
      <c r="B44" s="50"/>
      <c r="C44" s="285">
        <v>0</v>
      </c>
      <c r="D44" s="286"/>
      <c r="E44" s="287"/>
      <c r="F44" s="3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5" ht="15.75" customHeight="1" x14ac:dyDescent="0.2">
      <c r="A45" s="45"/>
      <c r="B45" s="50"/>
      <c r="C45" s="285">
        <v>0</v>
      </c>
      <c r="D45" s="286"/>
      <c r="E45" s="287"/>
      <c r="F45" s="34"/>
      <c r="G45" s="296" t="str">
        <f>IF(ISERROR(J25/B55),"","Der Tierbesatz beträgt "&amp;ROUND(J25/B55,2)&amp;" GV/ha LF.")</f>
        <v/>
      </c>
      <c r="H45" s="296"/>
      <c r="I45" s="296"/>
      <c r="J45" s="296"/>
      <c r="K45" s="296"/>
      <c r="L45" s="296"/>
      <c r="M45" s="296"/>
      <c r="N45" s="296"/>
      <c r="O45" s="296"/>
      <c r="P45" s="296"/>
      <c r="Q45" s="296"/>
      <c r="R45" s="296"/>
      <c r="W45" s="147" t="s">
        <v>135</v>
      </c>
      <c r="X45" s="132">
        <f>IF(ISERROR(J25/B55),0,J25/B55)</f>
        <v>0</v>
      </c>
    </row>
    <row r="46" spans="1:25" ht="15.75" customHeight="1" x14ac:dyDescent="0.2">
      <c r="A46" s="45"/>
      <c r="B46" s="50"/>
      <c r="C46" s="285"/>
      <c r="D46" s="286"/>
      <c r="E46" s="287"/>
      <c r="F46" s="34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</row>
    <row r="47" spans="1:25" ht="15.75" customHeight="1" x14ac:dyDescent="0.2">
      <c r="A47" s="83"/>
      <c r="B47" s="91"/>
      <c r="C47" s="288">
        <v>0</v>
      </c>
      <c r="D47" s="289"/>
      <c r="E47" s="290"/>
      <c r="F47" s="34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</row>
    <row r="48" spans="1:25" ht="15.75" customHeight="1" x14ac:dyDescent="0.2">
      <c r="A48" s="145" t="s">
        <v>160</v>
      </c>
      <c r="B48" s="146"/>
      <c r="C48" s="276">
        <v>0</v>
      </c>
      <c r="D48" s="277"/>
      <c r="E48" s="278"/>
      <c r="F48" s="34"/>
    </row>
    <row r="49" spans="1:25" s="197" customFormat="1" ht="15.75" customHeight="1" x14ac:dyDescent="0.2">
      <c r="A49" s="79" t="s">
        <v>31</v>
      </c>
      <c r="B49" s="28"/>
      <c r="C49" s="241">
        <f>SUM(C42:E48)</f>
        <v>0</v>
      </c>
      <c r="D49" s="242"/>
      <c r="E49" s="243"/>
    </row>
    <row r="50" spans="1:25" ht="8.25" customHeight="1" x14ac:dyDescent="0.2"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25" ht="15.75" customHeight="1" x14ac:dyDescent="0.25">
      <c r="A51" s="78" t="s">
        <v>56</v>
      </c>
      <c r="B51" s="57"/>
      <c r="C51" s="58"/>
      <c r="D51" s="59"/>
      <c r="E51" s="60"/>
      <c r="F51" s="52"/>
      <c r="G51" s="105" t="s">
        <v>97</v>
      </c>
      <c r="H51" s="106"/>
      <c r="I51" s="106"/>
      <c r="J51" s="106"/>
      <c r="K51" s="106"/>
      <c r="L51" s="106"/>
      <c r="M51" s="106"/>
      <c r="N51" s="106"/>
      <c r="O51" s="220">
        <f>ROUND(Y26,2)</f>
        <v>0</v>
      </c>
      <c r="P51" s="220"/>
      <c r="Q51" s="220"/>
      <c r="R51" s="106" t="s">
        <v>30</v>
      </c>
    </row>
    <row r="52" spans="1:25" ht="13.5" customHeight="1" x14ac:dyDescent="0.2">
      <c r="A52" s="61"/>
      <c r="B52" s="68" t="s">
        <v>35</v>
      </c>
      <c r="C52" s="53"/>
      <c r="D52" s="62"/>
      <c r="E52" s="63"/>
      <c r="F52" s="54"/>
      <c r="G52" s="107">
        <f>IF(O51=0,0,IF(O51-O51/J25*B55*2&lt;=0,"","Abgabemenge bei 2,0 GV/ha"))</f>
        <v>0</v>
      </c>
      <c r="H52" s="107"/>
      <c r="I52" s="107"/>
      <c r="J52" s="107"/>
      <c r="K52" s="107"/>
      <c r="L52" s="107"/>
      <c r="M52" s="107"/>
      <c r="N52" s="107"/>
      <c r="O52" s="221">
        <f>IF(O51=0,0,IF(O51-O51/J25*B55*2&lt;0,0,O51-O51/J25*B55*2))</f>
        <v>0</v>
      </c>
      <c r="P52" s="221"/>
      <c r="Q52" s="221"/>
      <c r="R52" s="107">
        <f>IF(O51=0,0,IF(O51-O51/J25*B55*2&lt;=0,"","m³"))</f>
        <v>0</v>
      </c>
      <c r="S52" s="72"/>
    </row>
    <row r="53" spans="1:25" ht="15.75" customHeight="1" x14ac:dyDescent="0.2">
      <c r="A53" s="177" t="s">
        <v>189</v>
      </c>
      <c r="B53" s="69">
        <v>0</v>
      </c>
      <c r="C53" s="70"/>
      <c r="D53" s="70"/>
      <c r="E53" s="71"/>
      <c r="F53" s="55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25" ht="15.75" customHeight="1" x14ac:dyDescent="0.2">
      <c r="A54" s="73" t="s">
        <v>216</v>
      </c>
      <c r="B54" s="74"/>
      <c r="C54" s="55"/>
      <c r="D54" s="55"/>
      <c r="E54" s="64"/>
      <c r="F54" s="55"/>
      <c r="G54" s="109" t="s">
        <v>98</v>
      </c>
      <c r="H54" s="109"/>
      <c r="I54" s="109"/>
      <c r="J54" s="109"/>
      <c r="K54" s="109"/>
      <c r="L54" s="109"/>
      <c r="M54" s="109"/>
      <c r="N54" s="109"/>
      <c r="O54" s="219">
        <f>IF(C48&gt;0,Y58/C48*100,0)</f>
        <v>0</v>
      </c>
      <c r="P54" s="219"/>
      <c r="Q54" s="219"/>
      <c r="R54" s="109" t="s">
        <v>89</v>
      </c>
      <c r="W54" t="s">
        <v>93</v>
      </c>
      <c r="Y54" s="98">
        <f>SUM(C42:E47)</f>
        <v>0</v>
      </c>
    </row>
    <row r="55" spans="1:25" ht="15.75" customHeight="1" x14ac:dyDescent="0.2">
      <c r="A55" s="65"/>
      <c r="B55" s="199">
        <f>B53+B54</f>
        <v>0</v>
      </c>
      <c r="C55" s="66"/>
      <c r="D55" s="66"/>
      <c r="E55" s="67"/>
      <c r="F55" s="5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W55" t="s">
        <v>90</v>
      </c>
      <c r="Y55" s="98">
        <f>IF(C49&gt;=Y39,C49-Y39,0)</f>
        <v>0</v>
      </c>
    </row>
    <row r="56" spans="1:25" ht="7.5" customHeight="1" x14ac:dyDescent="0.2">
      <c r="A56" s="35"/>
      <c r="B56" s="35"/>
      <c r="C56" s="35"/>
      <c r="D56" s="35"/>
      <c r="E56" s="35"/>
      <c r="F56" s="3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25" x14ac:dyDescent="0.2">
      <c r="A57" s="8" t="s">
        <v>206</v>
      </c>
      <c r="W57" t="s">
        <v>91</v>
      </c>
      <c r="Y57">
        <f>IF(Y54&lt;M37,M37-C42,0)</f>
        <v>0</v>
      </c>
    </row>
    <row r="58" spans="1:25" x14ac:dyDescent="0.2">
      <c r="A58" s="8" t="s">
        <v>207</v>
      </c>
      <c r="W58" t="s">
        <v>92</v>
      </c>
      <c r="Y58" s="98">
        <f>C48-Y55-Y57</f>
        <v>0</v>
      </c>
    </row>
    <row r="59" spans="1:25" x14ac:dyDescent="0.2">
      <c r="A59" s="8" t="s">
        <v>131</v>
      </c>
    </row>
    <row r="60" spans="1:25" x14ac:dyDescent="0.2">
      <c r="A60" s="8" t="s">
        <v>99</v>
      </c>
    </row>
    <row r="61" spans="1:25" x14ac:dyDescent="0.2">
      <c r="A61" s="8" t="s">
        <v>208</v>
      </c>
    </row>
    <row r="62" spans="1:25" x14ac:dyDescent="0.2">
      <c r="A62" s="13" t="s">
        <v>209</v>
      </c>
    </row>
    <row r="63" spans="1:25" x14ac:dyDescent="0.2">
      <c r="A63" s="8" t="s">
        <v>53</v>
      </c>
    </row>
    <row r="64" spans="1:25" x14ac:dyDescent="0.2">
      <c r="A64" s="8" t="s">
        <v>227</v>
      </c>
    </row>
    <row r="65" spans="1:15" x14ac:dyDescent="0.2">
      <c r="A65" s="8" t="s">
        <v>228</v>
      </c>
    </row>
    <row r="66" spans="1:15" ht="12.75" customHeight="1" x14ac:dyDescent="0.2">
      <c r="A66" s="108"/>
      <c r="O66" s="92" t="s">
        <v>234</v>
      </c>
    </row>
    <row r="67" spans="1:15" ht="12" customHeight="1" x14ac:dyDescent="0.2"/>
  </sheetData>
  <sheetProtection algorithmName="SHA-512" hashValue="n8H7hNSrOsxOX5MXKmDoQ4X/VggLNs9KahmVy3LT5ShtLelAHyiarP1cTa5o6yoZ+fxuS3YT1o0Yk487pK5xhQ==" saltValue="W4A1lORI59ydgEdhS6fJTA==" spinCount="100000" sheet="1" selectLockedCells="1"/>
  <mergeCells count="154">
    <mergeCell ref="J25:L25"/>
    <mergeCell ref="C17:E17"/>
    <mergeCell ref="C18:E18"/>
    <mergeCell ref="F17:G17"/>
    <mergeCell ref="F18:G18"/>
    <mergeCell ref="F19:G19"/>
    <mergeCell ref="H20:I20"/>
    <mergeCell ref="F20:G20"/>
    <mergeCell ref="F21:G21"/>
    <mergeCell ref="F22:G22"/>
    <mergeCell ref="H19:I19"/>
    <mergeCell ref="C21:E21"/>
    <mergeCell ref="C22:E22"/>
    <mergeCell ref="H16:I16"/>
    <mergeCell ref="C20:E20"/>
    <mergeCell ref="P17:R17"/>
    <mergeCell ref="P18:R18"/>
    <mergeCell ref="P19:R19"/>
    <mergeCell ref="P20:R20"/>
    <mergeCell ref="A1:S1"/>
    <mergeCell ref="D7:F7"/>
    <mergeCell ref="G7:H7"/>
    <mergeCell ref="P11:R11"/>
    <mergeCell ref="P12:R12"/>
    <mergeCell ref="P13:R13"/>
    <mergeCell ref="P14:R14"/>
    <mergeCell ref="P16:R16"/>
    <mergeCell ref="M16:O16"/>
    <mergeCell ref="M17:O17"/>
    <mergeCell ref="M18:O18"/>
    <mergeCell ref="C19:E19"/>
    <mergeCell ref="C11:E11"/>
    <mergeCell ref="C12:E12"/>
    <mergeCell ref="C13:E13"/>
    <mergeCell ref="C14:E14"/>
    <mergeCell ref="C15:E15"/>
    <mergeCell ref="F16:G16"/>
    <mergeCell ref="C16:E16"/>
    <mergeCell ref="H14:I14"/>
    <mergeCell ref="M19:O19"/>
    <mergeCell ref="M20:O20"/>
    <mergeCell ref="M11:O11"/>
    <mergeCell ref="C24:E24"/>
    <mergeCell ref="F23:G23"/>
    <mergeCell ref="F24:G24"/>
    <mergeCell ref="M22:O22"/>
    <mergeCell ref="M23:O23"/>
    <mergeCell ref="J17:L17"/>
    <mergeCell ref="J18:L18"/>
    <mergeCell ref="J19:L19"/>
    <mergeCell ref="J20:L20"/>
    <mergeCell ref="M21:O21"/>
    <mergeCell ref="J11:L11"/>
    <mergeCell ref="J12:L12"/>
    <mergeCell ref="J13:L13"/>
    <mergeCell ref="J14:L14"/>
    <mergeCell ref="H17:I17"/>
    <mergeCell ref="H18:I18"/>
    <mergeCell ref="J15:L15"/>
    <mergeCell ref="J16:L16"/>
    <mergeCell ref="H13:I13"/>
    <mergeCell ref="P23:R23"/>
    <mergeCell ref="P24:R24"/>
    <mergeCell ref="P22:R22"/>
    <mergeCell ref="H24:I24"/>
    <mergeCell ref="J24:L24"/>
    <mergeCell ref="H22:I22"/>
    <mergeCell ref="M24:O24"/>
    <mergeCell ref="C23:E23"/>
    <mergeCell ref="P21:R21"/>
    <mergeCell ref="H23:I23"/>
    <mergeCell ref="J23:L23"/>
    <mergeCell ref="J22:L22"/>
    <mergeCell ref="H21:I21"/>
    <mergeCell ref="J21:L21"/>
    <mergeCell ref="O7:R7"/>
    <mergeCell ref="L7:N7"/>
    <mergeCell ref="I7:K7"/>
    <mergeCell ref="A4:R4"/>
    <mergeCell ref="M15:O15"/>
    <mergeCell ref="M10:R10"/>
    <mergeCell ref="J10:L10"/>
    <mergeCell ref="F13:G13"/>
    <mergeCell ref="F14:G14"/>
    <mergeCell ref="F15:G15"/>
    <mergeCell ref="C10:I10"/>
    <mergeCell ref="F11:I11"/>
    <mergeCell ref="F12:I12"/>
    <mergeCell ref="H15:I15"/>
    <mergeCell ref="M12:O12"/>
    <mergeCell ref="M13:O13"/>
    <mergeCell ref="M14:O14"/>
    <mergeCell ref="P15:R15"/>
    <mergeCell ref="M25:O25"/>
    <mergeCell ref="P25:R25"/>
    <mergeCell ref="M27:O27"/>
    <mergeCell ref="M28:O28"/>
    <mergeCell ref="M29:O29"/>
    <mergeCell ref="M30:O30"/>
    <mergeCell ref="P27:R27"/>
    <mergeCell ref="P29:R29"/>
    <mergeCell ref="P30:R30"/>
    <mergeCell ref="M26:O26"/>
    <mergeCell ref="P26:R26"/>
    <mergeCell ref="C42:E42"/>
    <mergeCell ref="C43:E43"/>
    <mergeCell ref="C44:E44"/>
    <mergeCell ref="C47:E47"/>
    <mergeCell ref="J28:L28"/>
    <mergeCell ref="M32:O32"/>
    <mergeCell ref="P32:R32"/>
    <mergeCell ref="M33:O33"/>
    <mergeCell ref="P33:R33"/>
    <mergeCell ref="P28:R28"/>
    <mergeCell ref="P31:R31"/>
    <mergeCell ref="C45:E45"/>
    <mergeCell ref="C46:E46"/>
    <mergeCell ref="C39:E39"/>
    <mergeCell ref="G45:R45"/>
    <mergeCell ref="C49:E49"/>
    <mergeCell ref="G42:R43"/>
    <mergeCell ref="G46:R47"/>
    <mergeCell ref="C29:E29"/>
    <mergeCell ref="C30:E30"/>
    <mergeCell ref="C31:E31"/>
    <mergeCell ref="C32:E32"/>
    <mergeCell ref="C33:E33"/>
    <mergeCell ref="C34:E34"/>
    <mergeCell ref="M34:O34"/>
    <mergeCell ref="C40:E40"/>
    <mergeCell ref="C41:E41"/>
    <mergeCell ref="G39:R41"/>
    <mergeCell ref="P34:R34"/>
    <mergeCell ref="M36:O36"/>
    <mergeCell ref="P36:R36"/>
    <mergeCell ref="F36:H36"/>
    <mergeCell ref="C35:E35"/>
    <mergeCell ref="F35:H35"/>
    <mergeCell ref="P35:R35"/>
    <mergeCell ref="C36:E36"/>
    <mergeCell ref="C48:E48"/>
    <mergeCell ref="M37:O37"/>
    <mergeCell ref="P37:R37"/>
    <mergeCell ref="O54:Q54"/>
    <mergeCell ref="O51:Q51"/>
    <mergeCell ref="O52:Q52"/>
    <mergeCell ref="M35:O35"/>
    <mergeCell ref="F29:H29"/>
    <mergeCell ref="F30:H30"/>
    <mergeCell ref="F31:H31"/>
    <mergeCell ref="F32:H32"/>
    <mergeCell ref="F33:H33"/>
    <mergeCell ref="F34:H34"/>
    <mergeCell ref="M31:O31"/>
  </mergeCells>
  <phoneticPr fontId="0" type="noConversion"/>
  <pageMargins left="0.82677165354330717" right="3.937007874015748E-2" top="0.39370078740157483" bottom="0" header="0.11811023622047245" footer="0.11811023622047245"/>
  <pageSetup paperSize="9" scale="85" fitToHeight="0" orientation="portrait" r:id="rId1"/>
  <headerFooter scaleWithDoc="0" alignWithMargins="0"/>
  <rowBreaks count="1" manualBreakCount="1">
    <brk id="6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Drop Down 47">
              <controlPr defaultSize="0" print="0" autoLine="0" autoPict="0" macro="[0]!Modul3.Weide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1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Drop Down 49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1</xdr:col>
                    <xdr:colOff>723900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" name="Drop Down 110">
              <controlPr defaultSize="0" print="0" autoLine="0" autoPict="0" macro="[0]!Weide16">
                <anchor moveWithCells="1">
                  <from>
                    <xdr:col>0</xdr:col>
                    <xdr:colOff>0</xdr:colOff>
                    <xdr:row>15</xdr:row>
                    <xdr:rowOff>9525</xdr:rowOff>
                  </from>
                  <to>
                    <xdr:col>1</xdr:col>
                    <xdr:colOff>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7" name="Drop Down 111">
              <controlPr defaultSize="0" print="0" autoLine="0" autoPict="0" macro="[0]!Weide17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" name="Drop Down 112">
              <controlPr defaultSize="0" print="0" autoLine="0" autoPict="0" macro="[0]!Weide18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" name="Drop Down 119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723900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0" name="Drop Down 120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723900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1" name="Drop Down 121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723900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2" name="Drop Down 184">
              <controlPr defaultSize="0" print="0" autoLine="0" autoPict="0" macro="[0]!Weide19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3" name="Drop Down 185">
              <controlPr defaultSize="0" print="0" autoLine="0" autoPict="0" macro="[0]!Weide20">
                <anchor moveWithCells="1">
                  <from>
                    <xdr:col>0</xdr:col>
                    <xdr:colOff>0</xdr:colOff>
                    <xdr:row>18</xdr:row>
                    <xdr:rowOff>190500</xdr:rowOff>
                  </from>
                  <to>
                    <xdr:col>1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4" name="Drop Down 186">
              <controlPr defaultSize="0" print="0" autoLine="0" autoPict="0" macro="[0]!Weide21">
                <anchor moveWithCells="1">
                  <from>
                    <xdr:col>0</xdr:col>
                    <xdr:colOff>0</xdr:colOff>
                    <xdr:row>19</xdr:row>
                    <xdr:rowOff>180975</xdr:rowOff>
                  </from>
                  <to>
                    <xdr:col>1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5" name="Drop Down 187">
              <controlPr defaultSize="0" print="0" autoLine="0" autoPict="0" macro="[0]!Weide22">
                <anchor moveWithCells="1">
                  <from>
                    <xdr:col>0</xdr:col>
                    <xdr:colOff>0</xdr:colOff>
                    <xdr:row>20</xdr:row>
                    <xdr:rowOff>180975</xdr:rowOff>
                  </from>
                  <to>
                    <xdr:col>1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6" name="Drop Down 188">
              <controlPr defaultSize="0" print="0" autoLine="0" autoPict="0" macro="[0]!Weide23">
                <anchor moveWithCells="1">
                  <from>
                    <xdr:col>0</xdr:col>
                    <xdr:colOff>0</xdr:colOff>
                    <xdr:row>21</xdr:row>
                    <xdr:rowOff>180975</xdr:rowOff>
                  </from>
                  <to>
                    <xdr:col>1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7" name="Drop Down 189">
              <controlPr defaultSize="0" print="0" autoLine="0" autoPict="0" macro="[0]!Weide24">
                <anchor moveWithCells="1">
                  <from>
                    <xdr:col>0</xdr:col>
                    <xdr:colOff>0</xdr:colOff>
                    <xdr:row>22</xdr:row>
                    <xdr:rowOff>180975</xdr:rowOff>
                  </from>
                  <to>
                    <xdr:col>1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8" name="Drop Down 191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723900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" name="Drop Down 192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723900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0" name="Drop Down 193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19</xdr:row>
                    <xdr:rowOff>190500</xdr:rowOff>
                  </from>
                  <to>
                    <xdr:col>1</xdr:col>
                    <xdr:colOff>723900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1" name="Drop Down 194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20</xdr:row>
                    <xdr:rowOff>180975</xdr:rowOff>
                  </from>
                  <to>
                    <xdr:col>1</xdr:col>
                    <xdr:colOff>723900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22" name="Drop Down 195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21</xdr:row>
                    <xdr:rowOff>180975</xdr:rowOff>
                  </from>
                  <to>
                    <xdr:col>1</xdr:col>
                    <xdr:colOff>723900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23" name="Drop Down 196">
              <controlPr defaultSize="0" print="0" autoLine="0" autoPict="0" altText="Hallo_x000a_">
                <anchor moveWithCells="1">
                  <from>
                    <xdr:col>1</xdr:col>
                    <xdr:colOff>0</xdr:colOff>
                    <xdr:row>22</xdr:row>
                    <xdr:rowOff>180975</xdr:rowOff>
                  </from>
                  <to>
                    <xdr:col>1</xdr:col>
                    <xdr:colOff>723900</xdr:colOff>
                    <xdr:row>23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R64"/>
  <sheetViews>
    <sheetView showGridLines="0" showZeros="0" workbookViewId="0">
      <selection activeCell="B28" sqref="B28"/>
    </sheetView>
  </sheetViews>
  <sheetFormatPr baseColWidth="10" defaultRowHeight="12.75" x14ac:dyDescent="0.2"/>
  <cols>
    <col min="1" max="1" width="33.42578125" customWidth="1"/>
    <col min="2" max="2" width="12.42578125" customWidth="1"/>
    <col min="3" max="18" width="3.5703125" customWidth="1"/>
  </cols>
  <sheetData>
    <row r="1" spans="1:18" ht="18.75" x14ac:dyDescent="0.25">
      <c r="A1" s="99" t="s">
        <v>229</v>
      </c>
    </row>
    <row r="2" spans="1:18" x14ac:dyDescent="0.2">
      <c r="A2" s="95"/>
    </row>
    <row r="4" spans="1:18" x14ac:dyDescent="0.2">
      <c r="A4" s="365">
        <f>'GV-Berechnung-Gülleanfall'!A4:R4</f>
        <v>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</row>
    <row r="5" spans="1:18" x14ac:dyDescent="0.2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2"/>
      <c r="M5" s="2"/>
      <c r="N5" s="2"/>
      <c r="O5" s="2"/>
      <c r="P5" s="2"/>
      <c r="Q5" s="2"/>
      <c r="R5" s="2"/>
    </row>
    <row r="6" spans="1:18" x14ac:dyDescent="0.2">
      <c r="A6" s="2"/>
      <c r="B6" s="2"/>
      <c r="C6" s="2"/>
      <c r="D6" s="9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x14ac:dyDescent="0.2">
      <c r="A7" s="2"/>
      <c r="B7" s="2"/>
      <c r="C7" s="2"/>
      <c r="D7" s="308" t="s">
        <v>2</v>
      </c>
      <c r="E7" s="309"/>
      <c r="F7" s="310"/>
      <c r="G7" s="308" t="s">
        <v>3</v>
      </c>
      <c r="H7" s="310"/>
      <c r="I7" s="308" t="s">
        <v>4</v>
      </c>
      <c r="J7" s="309"/>
      <c r="K7" s="310"/>
      <c r="L7" s="308" t="s">
        <v>7</v>
      </c>
      <c r="M7" s="309"/>
      <c r="N7" s="310"/>
      <c r="O7" s="308" t="s">
        <v>5</v>
      </c>
      <c r="P7" s="309"/>
      <c r="Q7" s="309"/>
      <c r="R7" s="310"/>
    </row>
    <row r="8" spans="1:18" ht="18" x14ac:dyDescent="0.25">
      <c r="A8" s="16"/>
      <c r="B8" s="16"/>
      <c r="C8" s="16"/>
      <c r="D8" s="5">
        <v>2</v>
      </c>
      <c r="E8" s="5">
        <v>7</v>
      </c>
      <c r="F8" s="5">
        <v>6</v>
      </c>
      <c r="G8" s="17" t="s">
        <v>9</v>
      </c>
      <c r="H8" s="5">
        <v>3</v>
      </c>
      <c r="I8" s="5">
        <f>'GV-Berechnung-Gülleanfall'!I8</f>
        <v>0</v>
      </c>
      <c r="J8" s="5">
        <f>'GV-Berechnung-Gülleanfall'!J8</f>
        <v>0</v>
      </c>
      <c r="K8" s="5">
        <f>'GV-Berechnung-Gülleanfall'!K8</f>
        <v>0</v>
      </c>
      <c r="L8" s="5">
        <f>'GV-Berechnung-Gülleanfall'!L8</f>
        <v>0</v>
      </c>
      <c r="M8" s="5">
        <f>'GV-Berechnung-Gülleanfall'!M8</f>
        <v>0</v>
      </c>
      <c r="N8" s="5">
        <f>'GV-Berechnung-Gülleanfall'!N8</f>
        <v>0</v>
      </c>
      <c r="O8" s="5">
        <f>'GV-Berechnung-Gülleanfall'!O8</f>
        <v>0</v>
      </c>
      <c r="P8" s="5">
        <f>'GV-Berechnung-Gülleanfall'!P8</f>
        <v>0</v>
      </c>
      <c r="Q8" s="5">
        <f>'GV-Berechnung-Gülleanfall'!Q8</f>
        <v>0</v>
      </c>
      <c r="R8" s="5">
        <f>'GV-Berechnung-Gülleanfall'!R8</f>
        <v>0</v>
      </c>
    </row>
    <row r="9" spans="1:18" x14ac:dyDescent="0.2">
      <c r="B9" s="2"/>
      <c r="C9" s="2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spans="1:18" x14ac:dyDescent="0.2">
      <c r="A10" s="8"/>
      <c r="B10" s="2"/>
      <c r="C10" s="2"/>
      <c r="D10" s="19"/>
      <c r="E10" s="19"/>
      <c r="F10" s="19"/>
      <c r="G10" s="20"/>
      <c r="H10" s="19"/>
      <c r="I10" s="19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14.25" x14ac:dyDescent="0.2">
      <c r="A11" s="33" t="s">
        <v>45</v>
      </c>
      <c r="B11" s="100"/>
      <c r="C11" s="315" t="s">
        <v>212</v>
      </c>
      <c r="D11" s="316"/>
      <c r="E11" s="316"/>
      <c r="F11" s="316"/>
      <c r="G11" s="316"/>
      <c r="H11" s="317"/>
      <c r="I11" s="319"/>
      <c r="J11" s="329"/>
      <c r="K11" s="329"/>
      <c r="L11" s="2"/>
      <c r="M11" s="2"/>
      <c r="N11" s="2"/>
      <c r="O11" s="2"/>
      <c r="P11" s="2"/>
      <c r="Q11" s="2"/>
      <c r="R11" s="2"/>
    </row>
    <row r="12" spans="1:18" ht="14.25" x14ac:dyDescent="0.2">
      <c r="A12" s="37"/>
      <c r="B12" s="97" t="s">
        <v>96</v>
      </c>
      <c r="C12" s="228" t="s">
        <v>95</v>
      </c>
      <c r="D12" s="366"/>
      <c r="E12" s="367"/>
      <c r="F12" s="246" t="s">
        <v>129</v>
      </c>
      <c r="G12" s="258"/>
      <c r="H12" s="259"/>
      <c r="I12" s="258"/>
      <c r="J12" s="247"/>
      <c r="K12" s="247"/>
    </row>
    <row r="13" spans="1:18" ht="15.75" customHeight="1" x14ac:dyDescent="0.2">
      <c r="A13" s="42" t="str">
        <f>'GV-Berechnung-Gülleanfall'!A15</f>
        <v>--</v>
      </c>
      <c r="B13" s="102">
        <f>'GV-Berechnung-Gülleanfall'!F15+'GV-Berechnung-Gülleanfall'!H15</f>
        <v>0</v>
      </c>
      <c r="C13" s="368">
        <f>B13*'GV-Berechnung-Gülleanfall'!Z15/12</f>
        <v>0</v>
      </c>
      <c r="D13" s="369"/>
      <c r="E13" s="370"/>
      <c r="F13" s="368">
        <f>IFERROR(C13/'GV-Berechnung-Gülleanfall'!AA15,0)</f>
        <v>0</v>
      </c>
      <c r="G13" s="369"/>
      <c r="H13" s="370"/>
      <c r="I13" s="371"/>
      <c r="J13" s="371"/>
      <c r="K13" s="371"/>
    </row>
    <row r="14" spans="1:18" ht="15.75" customHeight="1" x14ac:dyDescent="0.2">
      <c r="A14" s="110" t="str">
        <f>'GV-Berechnung-Gülleanfall'!A16</f>
        <v>--</v>
      </c>
      <c r="B14" s="111">
        <f>'GV-Berechnung-Gülleanfall'!F16+'GV-Berechnung-Gülleanfall'!H16</f>
        <v>0</v>
      </c>
      <c r="C14" s="372">
        <f>B14*'GV-Berechnung-Gülleanfall'!Z16/12</f>
        <v>0</v>
      </c>
      <c r="D14" s="373"/>
      <c r="E14" s="374"/>
      <c r="F14" s="372">
        <f>IFERROR(C14/'GV-Berechnung-Gülleanfall'!AA16,0)</f>
        <v>0</v>
      </c>
      <c r="G14" s="373"/>
      <c r="H14" s="374"/>
      <c r="I14" s="375"/>
      <c r="J14" s="375"/>
      <c r="K14" s="375"/>
    </row>
    <row r="15" spans="1:18" ht="15.75" customHeight="1" x14ac:dyDescent="0.2">
      <c r="A15" s="110" t="str">
        <f>'GV-Berechnung-Gülleanfall'!A17</f>
        <v>--</v>
      </c>
      <c r="B15" s="111">
        <f>'GV-Berechnung-Gülleanfall'!F17+'GV-Berechnung-Gülleanfall'!H17</f>
        <v>0</v>
      </c>
      <c r="C15" s="372">
        <f>B15*'GV-Berechnung-Gülleanfall'!Z17/12</f>
        <v>0</v>
      </c>
      <c r="D15" s="373"/>
      <c r="E15" s="374"/>
      <c r="F15" s="372">
        <f>IFERROR(C15/'GV-Berechnung-Gülleanfall'!AA17,0)</f>
        <v>0</v>
      </c>
      <c r="G15" s="373"/>
      <c r="H15" s="374"/>
      <c r="I15" s="375"/>
      <c r="J15" s="375"/>
      <c r="K15" s="375"/>
    </row>
    <row r="16" spans="1:18" ht="15.75" customHeight="1" x14ac:dyDescent="0.2">
      <c r="A16" s="110" t="str">
        <f>'GV-Berechnung-Gülleanfall'!A18</f>
        <v>--</v>
      </c>
      <c r="B16" s="111">
        <f>'GV-Berechnung-Gülleanfall'!F18+'GV-Berechnung-Gülleanfall'!H18</f>
        <v>0</v>
      </c>
      <c r="C16" s="372">
        <f>B16*'GV-Berechnung-Gülleanfall'!Z18/12</f>
        <v>0</v>
      </c>
      <c r="D16" s="373"/>
      <c r="E16" s="374"/>
      <c r="F16" s="372">
        <f>IFERROR(C16/'GV-Berechnung-Gülleanfall'!AA18,0)</f>
        <v>0</v>
      </c>
      <c r="G16" s="373"/>
      <c r="H16" s="374"/>
      <c r="I16" s="375"/>
      <c r="J16" s="375"/>
      <c r="K16" s="375"/>
    </row>
    <row r="17" spans="1:11" ht="15.75" customHeight="1" x14ac:dyDescent="0.2">
      <c r="A17" s="110" t="str">
        <f>'GV-Berechnung-Gülleanfall'!A19</f>
        <v>--</v>
      </c>
      <c r="B17" s="111">
        <f>'GV-Berechnung-Gülleanfall'!F19+'GV-Berechnung-Gülleanfall'!H19</f>
        <v>0</v>
      </c>
      <c r="C17" s="372">
        <f>B17*'GV-Berechnung-Gülleanfall'!Z19/12</f>
        <v>0</v>
      </c>
      <c r="D17" s="373"/>
      <c r="E17" s="374"/>
      <c r="F17" s="372">
        <f>IFERROR(C17/'GV-Berechnung-Gülleanfall'!AA19,0)</f>
        <v>0</v>
      </c>
      <c r="G17" s="373"/>
      <c r="H17" s="374"/>
      <c r="I17" s="375"/>
      <c r="J17" s="375"/>
      <c r="K17" s="375"/>
    </row>
    <row r="18" spans="1:11" ht="15.75" customHeight="1" x14ac:dyDescent="0.2">
      <c r="A18" s="110" t="str">
        <f>'GV-Berechnung-Gülleanfall'!A20</f>
        <v>--</v>
      </c>
      <c r="B18" s="111">
        <f>'GV-Berechnung-Gülleanfall'!F20+'GV-Berechnung-Gülleanfall'!H20</f>
        <v>0</v>
      </c>
      <c r="C18" s="372">
        <f>B18*'GV-Berechnung-Gülleanfall'!Z20/12</f>
        <v>0</v>
      </c>
      <c r="D18" s="373"/>
      <c r="E18" s="374"/>
      <c r="F18" s="372">
        <f>IFERROR(C18/'GV-Berechnung-Gülleanfall'!AA20,0)</f>
        <v>0</v>
      </c>
      <c r="G18" s="373"/>
      <c r="H18" s="374"/>
      <c r="I18" s="375"/>
      <c r="J18" s="375"/>
      <c r="K18" s="375"/>
    </row>
    <row r="19" spans="1:11" ht="15.75" customHeight="1" x14ac:dyDescent="0.2">
      <c r="A19" s="110" t="str">
        <f>'GV-Berechnung-Gülleanfall'!A21</f>
        <v>--</v>
      </c>
      <c r="B19" s="111">
        <f>'GV-Berechnung-Gülleanfall'!F21+'GV-Berechnung-Gülleanfall'!H21</f>
        <v>0</v>
      </c>
      <c r="C19" s="372">
        <f>B19*'GV-Berechnung-Gülleanfall'!Z21/12</f>
        <v>0</v>
      </c>
      <c r="D19" s="373"/>
      <c r="E19" s="374"/>
      <c r="F19" s="372">
        <f>IFERROR(C19/'GV-Berechnung-Gülleanfall'!AA21,0)</f>
        <v>0</v>
      </c>
      <c r="G19" s="373"/>
      <c r="H19" s="374"/>
      <c r="I19" s="375"/>
      <c r="J19" s="375"/>
      <c r="K19" s="375"/>
    </row>
    <row r="20" spans="1:11" ht="15.75" customHeight="1" x14ac:dyDescent="0.2">
      <c r="A20" s="110" t="str">
        <f>'GV-Berechnung-Gülleanfall'!A22</f>
        <v>--</v>
      </c>
      <c r="B20" s="111">
        <f>'GV-Berechnung-Gülleanfall'!F22+'GV-Berechnung-Gülleanfall'!H22</f>
        <v>0</v>
      </c>
      <c r="C20" s="372">
        <f>B20*'GV-Berechnung-Gülleanfall'!Z22/12</f>
        <v>0</v>
      </c>
      <c r="D20" s="373"/>
      <c r="E20" s="374"/>
      <c r="F20" s="372">
        <f>IFERROR(C20/'GV-Berechnung-Gülleanfall'!AA22,0)</f>
        <v>0</v>
      </c>
      <c r="G20" s="373"/>
      <c r="H20" s="374"/>
      <c r="I20" s="375"/>
      <c r="J20" s="375"/>
      <c r="K20" s="375"/>
    </row>
    <row r="21" spans="1:11" ht="15.75" customHeight="1" x14ac:dyDescent="0.2">
      <c r="A21" s="110" t="str">
        <f>'GV-Berechnung-Gülleanfall'!A23</f>
        <v>--</v>
      </c>
      <c r="B21" s="111">
        <f>'GV-Berechnung-Gülleanfall'!F23+'GV-Berechnung-Gülleanfall'!H23</f>
        <v>0</v>
      </c>
      <c r="C21" s="372">
        <f>B21*'GV-Berechnung-Gülleanfall'!Z23/12</f>
        <v>0</v>
      </c>
      <c r="D21" s="373"/>
      <c r="E21" s="374"/>
      <c r="F21" s="372">
        <f>IFERROR(C21/'GV-Berechnung-Gülleanfall'!AA23,0)</f>
        <v>0</v>
      </c>
      <c r="G21" s="373"/>
      <c r="H21" s="374"/>
      <c r="I21" s="375"/>
      <c r="J21" s="375"/>
      <c r="K21" s="375"/>
    </row>
    <row r="22" spans="1:11" ht="15.75" customHeight="1" x14ac:dyDescent="0.2">
      <c r="A22" s="103" t="str">
        <f>'GV-Berechnung-Gülleanfall'!A24</f>
        <v>--</v>
      </c>
      <c r="B22" s="104">
        <f>'GV-Berechnung-Gülleanfall'!F24+'GV-Berechnung-Gülleanfall'!H24</f>
        <v>0</v>
      </c>
      <c r="C22" s="378">
        <f>B22*'GV-Berechnung-Gülleanfall'!Z24/12</f>
        <v>0</v>
      </c>
      <c r="D22" s="379"/>
      <c r="E22" s="380"/>
      <c r="F22" s="381">
        <f>IFERROR(C22/'GV-Berechnung-Gülleanfall'!AA24,0)</f>
        <v>0</v>
      </c>
      <c r="G22" s="382"/>
      <c r="H22" s="383"/>
      <c r="I22" s="371"/>
      <c r="J22" s="371"/>
      <c r="K22" s="371"/>
    </row>
    <row r="23" spans="1:11" ht="15.75" customHeight="1" x14ac:dyDescent="0.2">
      <c r="A23" s="43" t="s">
        <v>164</v>
      </c>
      <c r="B23" s="101"/>
      <c r="C23" s="279">
        <f>SUM(C13:E22)</f>
        <v>0</v>
      </c>
      <c r="D23" s="280"/>
      <c r="E23" s="281"/>
      <c r="F23" s="353">
        <f>SUM(F13:H22)*12</f>
        <v>0</v>
      </c>
      <c r="G23" s="354"/>
      <c r="H23" s="355"/>
      <c r="I23" s="376"/>
      <c r="J23" s="377"/>
      <c r="K23" s="377"/>
    </row>
    <row r="24" spans="1:11" ht="15.75" customHeight="1" x14ac:dyDescent="0.2">
      <c r="A24" s="43" t="s">
        <v>130</v>
      </c>
      <c r="B24" s="101"/>
      <c r="C24" s="279">
        <f>SUM(C13:E22)*12</f>
        <v>0</v>
      </c>
      <c r="D24" s="280"/>
      <c r="E24" s="281"/>
      <c r="F24" s="353">
        <f>SUM(F13:H22)*12</f>
        <v>0</v>
      </c>
      <c r="G24" s="354"/>
      <c r="H24" s="355"/>
      <c r="I24" s="133"/>
      <c r="J24" s="134"/>
      <c r="K24" s="134"/>
    </row>
    <row r="26" spans="1:11" x14ac:dyDescent="0.2">
      <c r="A26" s="148" t="s">
        <v>161</v>
      </c>
      <c r="B26" s="149" t="s">
        <v>213</v>
      </c>
      <c r="C26" s="356" t="s">
        <v>150</v>
      </c>
      <c r="D26" s="357"/>
      <c r="E26" s="357"/>
      <c r="F26" s="361" t="s">
        <v>30</v>
      </c>
      <c r="G26" s="301"/>
      <c r="H26" s="302"/>
    </row>
    <row r="27" spans="1:11" ht="14.25" x14ac:dyDescent="0.2">
      <c r="A27" s="40" t="s">
        <v>162</v>
      </c>
      <c r="B27" s="153"/>
      <c r="C27" s="358"/>
      <c r="D27" s="358"/>
      <c r="E27" s="358"/>
      <c r="F27" s="276"/>
      <c r="G27" s="277"/>
      <c r="H27" s="278"/>
    </row>
    <row r="28" spans="1:11" x14ac:dyDescent="0.2">
      <c r="A28" s="151" t="s">
        <v>160</v>
      </c>
      <c r="B28" s="152"/>
      <c r="C28" s="359"/>
      <c r="D28" s="359"/>
      <c r="E28" s="359"/>
      <c r="F28" s="362">
        <f>C28*B28</f>
        <v>0</v>
      </c>
      <c r="G28" s="363"/>
      <c r="H28" s="364"/>
    </row>
    <row r="29" spans="1:11" x14ac:dyDescent="0.2">
      <c r="A29" s="101" t="s">
        <v>163</v>
      </c>
      <c r="B29" s="150"/>
      <c r="C29" s="360"/>
      <c r="D29" s="360"/>
      <c r="E29" s="360"/>
      <c r="F29" s="362">
        <f>F27+F28</f>
        <v>0</v>
      </c>
      <c r="G29" s="363"/>
      <c r="H29" s="364"/>
    </row>
    <row r="32" spans="1:11" x14ac:dyDescent="0.2">
      <c r="A32" s="8" t="s">
        <v>214</v>
      </c>
    </row>
    <row r="33" spans="1:1" x14ac:dyDescent="0.2">
      <c r="A33" t="s">
        <v>205</v>
      </c>
    </row>
    <row r="34" spans="1:1" x14ac:dyDescent="0.2">
      <c r="A34" s="8" t="s">
        <v>211</v>
      </c>
    </row>
    <row r="35" spans="1:1" x14ac:dyDescent="0.2">
      <c r="A35" t="s">
        <v>210</v>
      </c>
    </row>
    <row r="38" spans="1:1" x14ac:dyDescent="0.2">
      <c r="A38" s="8" t="s">
        <v>230</v>
      </c>
    </row>
    <row r="64" spans="13:13" x14ac:dyDescent="0.2">
      <c r="M64" s="92" t="str">
        <f>'GV-Berechnung-Gülleanfall'!O66</f>
        <v>Stand: 11.11.2020</v>
      </c>
    </row>
  </sheetData>
  <sheetProtection algorithmName="SHA-512" hashValue="BnNkNolPIOGrZB5DjnKaJHE1TVCg3oPfICHXOvVWR2/eEgzPYTC6gMsS7QBWEMWRUx43rvVrYvUvtxpw3su7vA==" saltValue="CIIpDRxzoSq/T81oNCQMYw==" spinCount="100000" sheet="1" selectLockedCells="1"/>
  <mergeCells count="54">
    <mergeCell ref="C23:E23"/>
    <mergeCell ref="F23:H23"/>
    <mergeCell ref="I23:K23"/>
    <mergeCell ref="C21:E21"/>
    <mergeCell ref="F21:H21"/>
    <mergeCell ref="I21:K21"/>
    <mergeCell ref="C22:E22"/>
    <mergeCell ref="F22:H22"/>
    <mergeCell ref="I22:K22"/>
    <mergeCell ref="C19:E19"/>
    <mergeCell ref="F19:H19"/>
    <mergeCell ref="I19:K19"/>
    <mergeCell ref="C20:E20"/>
    <mergeCell ref="F20:H20"/>
    <mergeCell ref="I20:K20"/>
    <mergeCell ref="C17:E17"/>
    <mergeCell ref="F17:H17"/>
    <mergeCell ref="I17:K17"/>
    <mergeCell ref="C18:E18"/>
    <mergeCell ref="F18:H18"/>
    <mergeCell ref="I18:K18"/>
    <mergeCell ref="C15:E15"/>
    <mergeCell ref="F15:H15"/>
    <mergeCell ref="I15:K15"/>
    <mergeCell ref="C16:E16"/>
    <mergeCell ref="F16:H16"/>
    <mergeCell ref="I16:K16"/>
    <mergeCell ref="C13:E13"/>
    <mergeCell ref="F13:H13"/>
    <mergeCell ref="I13:K13"/>
    <mergeCell ref="C14:E14"/>
    <mergeCell ref="F14:H14"/>
    <mergeCell ref="I14:K14"/>
    <mergeCell ref="I11:K11"/>
    <mergeCell ref="C12:E12"/>
    <mergeCell ref="F12:H12"/>
    <mergeCell ref="I12:K12"/>
    <mergeCell ref="C11:H11"/>
    <mergeCell ref="A4:R4"/>
    <mergeCell ref="D7:F7"/>
    <mergeCell ref="G7:H7"/>
    <mergeCell ref="I7:K7"/>
    <mergeCell ref="L7:N7"/>
    <mergeCell ref="O7:R7"/>
    <mergeCell ref="C29:E29"/>
    <mergeCell ref="F26:H26"/>
    <mergeCell ref="F27:H27"/>
    <mergeCell ref="F28:H28"/>
    <mergeCell ref="F29:H29"/>
    <mergeCell ref="C24:E24"/>
    <mergeCell ref="F24:H24"/>
    <mergeCell ref="C26:E26"/>
    <mergeCell ref="C27:E27"/>
    <mergeCell ref="C28:E28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0"/>
  <sheetViews>
    <sheetView showGridLines="0" topLeftCell="A4" workbookViewId="0">
      <selection activeCell="A14" sqref="A14"/>
    </sheetView>
  </sheetViews>
  <sheetFormatPr baseColWidth="10" defaultRowHeight="12.75" x14ac:dyDescent="0.2"/>
  <cols>
    <col min="1" max="1" width="29.7109375" customWidth="1"/>
    <col min="2" max="2" width="9.5703125" customWidth="1"/>
    <col min="3" max="18" width="3.5703125" customWidth="1"/>
    <col min="19" max="22" width="11.42578125" hidden="1" customWidth="1"/>
    <col min="23" max="23" width="0" hidden="1" customWidth="1"/>
  </cols>
  <sheetData>
    <row r="1" spans="1:21" ht="15.75" customHeight="1" x14ac:dyDescent="0.25">
      <c r="A1" s="179" t="s">
        <v>191</v>
      </c>
    </row>
    <row r="2" spans="1:21" ht="15.75" customHeight="1" x14ac:dyDescent="0.25">
      <c r="A2" s="180" t="s">
        <v>192</v>
      </c>
    </row>
    <row r="3" spans="1:21" ht="15.75" customHeight="1" x14ac:dyDescent="0.25">
      <c r="A3" s="180" t="s">
        <v>225</v>
      </c>
    </row>
    <row r="5" spans="1:21" x14ac:dyDescent="0.2">
      <c r="A5" s="385">
        <f>'GV-Berechnung-Gülleanfall'!A4:R4</f>
        <v>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T5" s="8" t="s">
        <v>155</v>
      </c>
      <c r="U5">
        <v>1</v>
      </c>
    </row>
    <row r="6" spans="1:21" x14ac:dyDescent="0.2">
      <c r="A6" s="3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2"/>
      <c r="M6" s="2"/>
      <c r="N6" s="2"/>
      <c r="O6" s="2"/>
      <c r="P6" s="2"/>
      <c r="Q6" s="2"/>
      <c r="R6" s="2"/>
      <c r="T6" s="8" t="s">
        <v>156</v>
      </c>
      <c r="U6">
        <v>2</v>
      </c>
    </row>
    <row r="7" spans="1:21" x14ac:dyDescent="0.2">
      <c r="A7" s="2"/>
      <c r="B7" s="2"/>
      <c r="C7" s="2"/>
      <c r="D7" s="9" t="s"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21" x14ac:dyDescent="0.2">
      <c r="A8" s="2"/>
      <c r="B8" s="2"/>
      <c r="C8" s="2"/>
      <c r="D8" s="308" t="s">
        <v>2</v>
      </c>
      <c r="E8" s="309"/>
      <c r="F8" s="310"/>
      <c r="G8" s="308" t="s">
        <v>3</v>
      </c>
      <c r="H8" s="310"/>
      <c r="I8" s="308" t="s">
        <v>4</v>
      </c>
      <c r="J8" s="309"/>
      <c r="K8" s="310"/>
      <c r="L8" s="308" t="s">
        <v>7</v>
      </c>
      <c r="M8" s="309"/>
      <c r="N8" s="310"/>
      <c r="O8" s="308" t="s">
        <v>5</v>
      </c>
      <c r="P8" s="309"/>
      <c r="Q8" s="309"/>
      <c r="R8" s="310"/>
    </row>
    <row r="9" spans="1:21" ht="18" x14ac:dyDescent="0.25">
      <c r="A9" s="16"/>
      <c r="B9" s="16"/>
      <c r="C9" s="16"/>
      <c r="D9" s="5">
        <v>2</v>
      </c>
      <c r="E9" s="5">
        <v>7</v>
      </c>
      <c r="F9" s="5">
        <v>6</v>
      </c>
      <c r="G9" s="17" t="s">
        <v>9</v>
      </c>
      <c r="H9" s="5">
        <v>3</v>
      </c>
      <c r="I9" s="215">
        <f>'GV-Berechnung-Gülleanfall'!I8</f>
        <v>0</v>
      </c>
      <c r="J9" s="215">
        <f>'GV-Berechnung-Gülleanfall'!J8</f>
        <v>0</v>
      </c>
      <c r="K9" s="215">
        <f>'GV-Berechnung-Gülleanfall'!K8</f>
        <v>0</v>
      </c>
      <c r="L9" s="215">
        <f>'GV-Berechnung-Gülleanfall'!L8</f>
        <v>0</v>
      </c>
      <c r="M9" s="215">
        <f>'GV-Berechnung-Gülleanfall'!M8</f>
        <v>0</v>
      </c>
      <c r="N9" s="215">
        <f>'GV-Berechnung-Gülleanfall'!N8</f>
        <v>0</v>
      </c>
      <c r="O9" s="215">
        <f>'GV-Berechnung-Gülleanfall'!O8</f>
        <v>0</v>
      </c>
      <c r="P9" s="215">
        <f>'GV-Berechnung-Gülleanfall'!P8</f>
        <v>0</v>
      </c>
      <c r="Q9" s="215">
        <f>'GV-Berechnung-Gülleanfall'!Q8</f>
        <v>0</v>
      </c>
      <c r="R9" s="215">
        <f>'GV-Berechnung-Gülleanfall'!R8</f>
        <v>0</v>
      </c>
    </row>
    <row r="10" spans="1:21" ht="18" x14ac:dyDescent="0.25">
      <c r="A10" s="16"/>
      <c r="B10" s="16"/>
      <c r="C10" s="16"/>
      <c r="D10" s="14"/>
      <c r="E10" s="14"/>
      <c r="F10" s="14"/>
      <c r="G10" s="18"/>
      <c r="H10" s="14"/>
      <c r="I10" s="14"/>
      <c r="J10" s="18"/>
      <c r="K10" s="18"/>
      <c r="L10" s="18"/>
      <c r="M10" s="18"/>
      <c r="N10" s="18"/>
      <c r="O10" s="18"/>
      <c r="P10" s="18"/>
      <c r="Q10" s="18"/>
      <c r="R10" s="18"/>
    </row>
    <row r="11" spans="1:21" ht="3.75" customHeight="1" x14ac:dyDescent="0.2"/>
    <row r="12" spans="1:21" ht="18.75" customHeight="1" x14ac:dyDescent="0.2">
      <c r="A12" s="95" t="s">
        <v>132</v>
      </c>
    </row>
    <row r="13" spans="1:21" ht="0.75" customHeight="1" x14ac:dyDescent="0.2">
      <c r="A13" s="8"/>
    </row>
    <row r="14" spans="1:21" ht="17.25" customHeight="1" x14ac:dyDescent="0.2">
      <c r="A14" s="135" t="str">
        <f>IF(U14=1,T5,T6)</f>
        <v>WDL für Tierhaltung</v>
      </c>
      <c r="U14" s="1">
        <v>1</v>
      </c>
    </row>
    <row r="15" spans="1:21" x14ac:dyDescent="0.2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1:21" x14ac:dyDescent="0.2">
      <c r="A16" s="8" t="s">
        <v>56</v>
      </c>
      <c r="B16" s="98">
        <f>'GV-Berechnung-Gülleanfall'!B55</f>
        <v>0</v>
      </c>
      <c r="C16" s="8" t="s">
        <v>133</v>
      </c>
    </row>
    <row r="17" spans="1:22" x14ac:dyDescent="0.2">
      <c r="A17" s="8" t="s">
        <v>134</v>
      </c>
      <c r="B17" s="98">
        <f>'GV-Berechnung-Gülleanfall'!X45</f>
        <v>0</v>
      </c>
      <c r="C17" s="8" t="s">
        <v>135</v>
      </c>
    </row>
    <row r="18" spans="1:22" x14ac:dyDescent="0.2">
      <c r="A18" s="137" t="s">
        <v>136</v>
      </c>
      <c r="B18" s="138"/>
      <c r="C18" s="139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22" x14ac:dyDescent="0.2">
      <c r="A19" s="140"/>
      <c r="B19" s="141"/>
      <c r="C19" s="142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22" x14ac:dyDescent="0.2">
      <c r="A20" s="8" t="s">
        <v>137</v>
      </c>
      <c r="B20" s="98">
        <f>'GV-Berechnung-Gülleanfall'!Y54</f>
        <v>0</v>
      </c>
      <c r="C20" s="8" t="s">
        <v>30</v>
      </c>
    </row>
    <row r="21" spans="1:22" x14ac:dyDescent="0.2">
      <c r="A21" s="8" t="s">
        <v>138</v>
      </c>
      <c r="B21" s="98">
        <f>'GV-Berechnung-Gülleanfall'!C48</f>
        <v>0</v>
      </c>
      <c r="C21" s="8" t="s">
        <v>30</v>
      </c>
    </row>
    <row r="22" spans="1:22" x14ac:dyDescent="0.2">
      <c r="A22" s="8" t="s">
        <v>139</v>
      </c>
      <c r="B22" s="98">
        <f>B21+B20</f>
        <v>0</v>
      </c>
      <c r="C22" s="8" t="s">
        <v>30</v>
      </c>
    </row>
    <row r="23" spans="1:22" x14ac:dyDescent="0.2">
      <c r="A23" s="8" t="s">
        <v>140</v>
      </c>
      <c r="B23" s="98">
        <f>IF(U14=1,'GV-Berechnung-Gülleanfall'!Y39,B16*25)</f>
        <v>0</v>
      </c>
      <c r="C23" s="8" t="s">
        <v>141</v>
      </c>
      <c r="D23" t="str">
        <f>IF(U14=1,"(max. 12 Monate Lagerkapazität)","(max. 25 m³/ha)")</f>
        <v>(max. 12 Monate Lagerkapazität)</v>
      </c>
      <c r="T23" t="s">
        <v>157</v>
      </c>
      <c r="V23">
        <f>IF(B22&gt;B23,B22-B23,0)</f>
        <v>0</v>
      </c>
    </row>
    <row r="24" spans="1:22" x14ac:dyDescent="0.2">
      <c r="A24" s="8" t="s">
        <v>142</v>
      </c>
      <c r="B24" s="98">
        <f>IF(B17&gt;3,'GV-Berechnung-Gülleanfall'!P37,'GV-Berechnung-Gülleanfall'!M37)</f>
        <v>0</v>
      </c>
      <c r="C24" s="8" t="s">
        <v>200</v>
      </c>
      <c r="T24" t="s">
        <v>158</v>
      </c>
      <c r="V24">
        <f>IF(B24&gt;B20,B24-B20,0)</f>
        <v>0</v>
      </c>
    </row>
    <row r="25" spans="1:22" x14ac:dyDescent="0.2">
      <c r="A25" s="8"/>
      <c r="B25" s="98"/>
      <c r="C25" s="8"/>
      <c r="V25">
        <f>V24+V23</f>
        <v>0</v>
      </c>
    </row>
    <row r="26" spans="1:22" x14ac:dyDescent="0.2">
      <c r="A26" s="95" t="s">
        <v>143</v>
      </c>
      <c r="B26" s="143">
        <f>IF(B17&gt;3,0,IF(B21-V25&gt;0,B21-V25,0))</f>
        <v>0</v>
      </c>
      <c r="C26" s="95" t="s">
        <v>30</v>
      </c>
    </row>
    <row r="27" spans="1:22" x14ac:dyDescent="0.2">
      <c r="A27" s="95" t="s">
        <v>144</v>
      </c>
      <c r="B27" s="143">
        <f>IF(ISERROR(B26/B21*100),0,B26/B21*100)</f>
        <v>0</v>
      </c>
      <c r="C27" s="95" t="s">
        <v>89</v>
      </c>
    </row>
    <row r="28" spans="1:22" x14ac:dyDescent="0.2">
      <c r="A28" s="95" t="s">
        <v>166</v>
      </c>
      <c r="B28" s="143">
        <f>IF(ISERROR(IF(U14=2,0,B22/(B23/12))),0,IF(U14=2,0,B22/(B23/12)))</f>
        <v>0</v>
      </c>
      <c r="C28" s="95" t="s">
        <v>165</v>
      </c>
    </row>
    <row r="29" spans="1:22" x14ac:dyDescent="0.2">
      <c r="A29" s="142"/>
      <c r="B29" s="141"/>
      <c r="C29" s="142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2" x14ac:dyDescent="0.2">
      <c r="A30" s="8" t="s">
        <v>145</v>
      </c>
      <c r="B30" s="144">
        <f>V30</f>
        <v>0</v>
      </c>
      <c r="C30" s="8" t="s">
        <v>146</v>
      </c>
      <c r="D30" s="8"/>
      <c r="T30" s="8" t="s">
        <v>130</v>
      </c>
      <c r="V30">
        <f>'GV-Berechnung-Gülleanfall'!Y39</f>
        <v>0</v>
      </c>
    </row>
    <row r="31" spans="1:22" x14ac:dyDescent="0.2">
      <c r="A31" s="95" t="s">
        <v>147</v>
      </c>
      <c r="B31" s="143">
        <f>IF(V33&lt;0,0,V33)</f>
        <v>0</v>
      </c>
      <c r="C31" s="95" t="s">
        <v>30</v>
      </c>
    </row>
    <row r="32" spans="1:22" x14ac:dyDescent="0.2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</row>
    <row r="33" spans="1:22" x14ac:dyDescent="0.2">
      <c r="A33" s="95" t="s">
        <v>148</v>
      </c>
      <c r="B33" s="143"/>
      <c r="C33" s="95"/>
      <c r="V33">
        <f>IF(U14=2,IF(B23&gt;B22,B22-V30,B23-V30),0)</f>
        <v>0</v>
      </c>
    </row>
    <row r="34" spans="1:22" x14ac:dyDescent="0.2">
      <c r="A34" s="8"/>
      <c r="B34" s="98"/>
      <c r="C34" s="8"/>
    </row>
    <row r="35" spans="1:22" x14ac:dyDescent="0.2">
      <c r="A35" s="8" t="s">
        <v>137</v>
      </c>
      <c r="B35" s="98">
        <f>'Mist- Trockenkotanfall'!F27</f>
        <v>0</v>
      </c>
      <c r="C35" s="8" t="s">
        <v>30</v>
      </c>
    </row>
    <row r="36" spans="1:22" x14ac:dyDescent="0.2">
      <c r="A36" s="8" t="s">
        <v>138</v>
      </c>
      <c r="B36" s="98">
        <f>'Mist- Trockenkotanfall'!F28</f>
        <v>0</v>
      </c>
      <c r="C36" s="8" t="s">
        <v>149</v>
      </c>
      <c r="D36" s="384">
        <v>0</v>
      </c>
      <c r="E36" s="384"/>
      <c r="F36" s="8" t="s">
        <v>150</v>
      </c>
      <c r="T36" s="98"/>
    </row>
    <row r="37" spans="1:22" x14ac:dyDescent="0.2">
      <c r="A37" s="8" t="s">
        <v>139</v>
      </c>
      <c r="B37" s="144">
        <f>B36+B35</f>
        <v>0</v>
      </c>
      <c r="C37" s="8" t="s">
        <v>30</v>
      </c>
      <c r="T37" s="8" t="s">
        <v>157</v>
      </c>
      <c r="V37">
        <f>IF(B37&gt;B38,B37-B38,0)</f>
        <v>0</v>
      </c>
    </row>
    <row r="38" spans="1:22" x14ac:dyDescent="0.2">
      <c r="A38" t="s">
        <v>140</v>
      </c>
      <c r="B38" s="98">
        <f>'Mist- Trockenkotanfall'!C24</f>
        <v>0</v>
      </c>
      <c r="C38" s="8" t="s">
        <v>151</v>
      </c>
      <c r="T38" s="8" t="s">
        <v>159</v>
      </c>
      <c r="V38">
        <f>IF(B39&gt;B35,B39-B35,0)</f>
        <v>0</v>
      </c>
    </row>
    <row r="39" spans="1:22" x14ac:dyDescent="0.2">
      <c r="A39" t="s">
        <v>142</v>
      </c>
      <c r="B39" s="98">
        <f>'Mist- Trockenkotanfall'!C23*2</f>
        <v>0</v>
      </c>
      <c r="C39" s="8" t="s">
        <v>152</v>
      </c>
      <c r="V39">
        <f>V38+V37</f>
        <v>0</v>
      </c>
    </row>
    <row r="40" spans="1:22" x14ac:dyDescent="0.2">
      <c r="B40" s="98"/>
    </row>
    <row r="41" spans="1:22" x14ac:dyDescent="0.2">
      <c r="A41" s="95" t="s">
        <v>143</v>
      </c>
      <c r="B41" s="143">
        <f>IF(B17&gt;3,0,IF(B36-V39&gt;0,B36-V39,0))</f>
        <v>0</v>
      </c>
      <c r="C41" s="95" t="s">
        <v>30</v>
      </c>
    </row>
    <row r="42" spans="1:22" x14ac:dyDescent="0.2">
      <c r="A42" s="95" t="s">
        <v>144</v>
      </c>
      <c r="B42" s="143">
        <f>IF(ISERROR(B41/B36*100),0,B41/B36*100)</f>
        <v>0</v>
      </c>
      <c r="C42" s="95" t="s">
        <v>89</v>
      </c>
    </row>
    <row r="43" spans="1:22" x14ac:dyDescent="0.2">
      <c r="A43" s="95" t="s">
        <v>166</v>
      </c>
      <c r="B43" s="143">
        <f>IF(ISERROR(B37/(B38/12)),0,B37/(B38/12))</f>
        <v>0</v>
      </c>
      <c r="C43" s="95" t="s">
        <v>165</v>
      </c>
      <c r="D43" s="95"/>
    </row>
    <row r="44" spans="1:22" x14ac:dyDescent="0.2">
      <c r="A44" s="8"/>
      <c r="B44" s="98"/>
      <c r="C44" s="8"/>
    </row>
    <row r="45" spans="1:22" x14ac:dyDescent="0.2">
      <c r="A45" s="8" t="s">
        <v>153</v>
      </c>
    </row>
    <row r="46" spans="1:22" x14ac:dyDescent="0.2">
      <c r="A46" s="8" t="s">
        <v>154</v>
      </c>
    </row>
    <row r="50" spans="1:12" x14ac:dyDescent="0.2">
      <c r="A50" s="8" t="s">
        <v>226</v>
      </c>
    </row>
    <row r="60" spans="1:12" x14ac:dyDescent="0.2">
      <c r="L60" s="92" t="str">
        <f>'GV-Berechnung-Gülleanfall'!O66</f>
        <v>Stand: 11.11.2020</v>
      </c>
    </row>
  </sheetData>
  <sheetProtection algorithmName="SHA-512" hashValue="myrRYnLrp6/wAZkLgFgVx45H+Yt/d13FdcyTKE2x6dfCc1KDZJ5LcOURRNpjKO1WJPekbaS2GujCdOgIfldIhg==" saltValue="7IHr+TacCAlo6tjljXv6jw==" spinCount="100000" sheet="1" objects="1" scenarios="1" selectLockedCells="1"/>
  <mergeCells count="7">
    <mergeCell ref="D36:E36"/>
    <mergeCell ref="A5:R5"/>
    <mergeCell ref="D8:F8"/>
    <mergeCell ref="G8:H8"/>
    <mergeCell ref="I8:K8"/>
    <mergeCell ref="L8:N8"/>
    <mergeCell ref="O8:R8"/>
  </mergeCells>
  <pageMargins left="1.1023622047244095" right="0.11811023622047245" top="1.3385826771653544" bottom="0.74803149606299213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Drop Down 3">
              <controlPr defaultSize="0" print="0" autoLine="0" autoPict="0">
                <anchor moveWithCells="1">
                  <from>
                    <xdr:col>0</xdr:col>
                    <xdr:colOff>0</xdr:colOff>
                    <xdr:row>12</xdr:row>
                    <xdr:rowOff>19050</xdr:rowOff>
                  </from>
                  <to>
                    <xdr:col>1</xdr:col>
                    <xdr:colOff>295275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showGridLines="0" showZeros="0" workbookViewId="0">
      <selection activeCell="C24" sqref="C24"/>
    </sheetView>
  </sheetViews>
  <sheetFormatPr baseColWidth="10" defaultRowHeight="12.75" x14ac:dyDescent="0.2"/>
  <cols>
    <col min="1" max="1" width="30.140625" style="178" customWidth="1"/>
    <col min="2" max="2" width="40" style="178" customWidth="1"/>
    <col min="3" max="3" width="14.28515625" style="178" customWidth="1"/>
    <col min="4" max="4" width="1.7109375" style="178" customWidth="1"/>
    <col min="5" max="19" width="3.5703125" style="178" customWidth="1"/>
    <col min="20" max="16384" width="11.42578125" style="178"/>
  </cols>
  <sheetData>
    <row r="1" spans="1:19" ht="15.75" x14ac:dyDescent="0.25">
      <c r="A1" s="179" t="s">
        <v>188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x14ac:dyDescent="0.25">
      <c r="A2" s="181" t="s">
        <v>224</v>
      </c>
      <c r="B2" s="94"/>
      <c r="C2" s="94"/>
    </row>
    <row r="3" spans="1:19" ht="11.25" customHeight="1" x14ac:dyDescent="0.2">
      <c r="A3" s="93"/>
      <c r="B3" s="93"/>
      <c r="C3" s="93"/>
    </row>
    <row r="4" spans="1:19" x14ac:dyDescent="0.2">
      <c r="A4" s="365">
        <f>'GV-Berechnung-Gülleanfall'!A4:R4</f>
        <v>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</row>
    <row r="5" spans="1:19" x14ac:dyDescent="0.2">
      <c r="A5" s="3" t="s">
        <v>8</v>
      </c>
      <c r="B5" s="3"/>
      <c r="C5" s="3"/>
      <c r="D5" s="4"/>
      <c r="E5" s="4"/>
      <c r="F5" s="4"/>
      <c r="G5" s="4"/>
      <c r="H5" s="4"/>
      <c r="I5" s="4"/>
      <c r="J5" s="4"/>
      <c r="K5" s="4"/>
      <c r="L5" s="4"/>
    </row>
    <row r="6" spans="1:19" x14ac:dyDescent="0.2">
      <c r="E6" s="9" t="s">
        <v>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</row>
    <row r="7" spans="1:19" x14ac:dyDescent="0.2">
      <c r="E7" s="308" t="s">
        <v>2</v>
      </c>
      <c r="F7" s="309"/>
      <c r="G7" s="310"/>
      <c r="H7" s="308" t="s">
        <v>3</v>
      </c>
      <c r="I7" s="310"/>
      <c r="J7" s="308" t="s">
        <v>4</v>
      </c>
      <c r="K7" s="309"/>
      <c r="L7" s="310"/>
      <c r="M7" s="308" t="s">
        <v>7</v>
      </c>
      <c r="N7" s="309"/>
      <c r="O7" s="310"/>
      <c r="P7" s="308" t="s">
        <v>5</v>
      </c>
      <c r="Q7" s="309"/>
      <c r="R7" s="309"/>
      <c r="S7" s="310"/>
    </row>
    <row r="8" spans="1:19" ht="18" x14ac:dyDescent="0.25">
      <c r="A8" s="16"/>
      <c r="B8" s="16"/>
      <c r="C8" s="16"/>
      <c r="D8" s="16"/>
      <c r="E8" s="5">
        <v>2</v>
      </c>
      <c r="F8" s="5">
        <v>7</v>
      </c>
      <c r="G8" s="5">
        <v>6</v>
      </c>
      <c r="H8" s="17" t="s">
        <v>9</v>
      </c>
      <c r="I8" s="5">
        <v>3</v>
      </c>
      <c r="J8" s="176">
        <f>'GV-Berechnung-Gülleanfall'!I8</f>
        <v>0</v>
      </c>
      <c r="K8" s="176">
        <f>'GV-Berechnung-Gülleanfall'!J8</f>
        <v>0</v>
      </c>
      <c r="L8" s="176">
        <f>'GV-Berechnung-Gülleanfall'!K8</f>
        <v>0</v>
      </c>
      <c r="M8" s="176">
        <f>'GV-Berechnung-Gülleanfall'!L8</f>
        <v>0</v>
      </c>
      <c r="N8" s="176">
        <f>'GV-Berechnung-Gülleanfall'!M8</f>
        <v>0</v>
      </c>
      <c r="O8" s="176">
        <f>'GV-Berechnung-Gülleanfall'!N8</f>
        <v>0</v>
      </c>
      <c r="P8" s="176">
        <f>'GV-Berechnung-Gülleanfall'!O8</f>
        <v>0</v>
      </c>
      <c r="Q8" s="176">
        <f>'GV-Berechnung-Gülleanfall'!P8</f>
        <v>0</v>
      </c>
      <c r="R8" s="176">
        <f>'GV-Berechnung-Gülleanfall'!Q8</f>
        <v>0</v>
      </c>
      <c r="S8" s="176">
        <f>'GV-Berechnung-Gülleanfall'!R8</f>
        <v>0</v>
      </c>
    </row>
    <row r="10" spans="1:19" ht="37.5" customHeight="1" x14ac:dyDescent="0.2">
      <c r="A10" s="155" t="s">
        <v>167</v>
      </c>
      <c r="B10" s="438" t="s">
        <v>204</v>
      </c>
      <c r="C10" s="198" t="s">
        <v>178</v>
      </c>
      <c r="D10" s="389" t="s">
        <v>231</v>
      </c>
      <c r="E10" s="390"/>
      <c r="F10" s="390"/>
      <c r="G10" s="391"/>
      <c r="H10" s="389" t="s">
        <v>232</v>
      </c>
      <c r="I10" s="390"/>
      <c r="J10" s="391"/>
      <c r="K10" s="389" t="s">
        <v>233</v>
      </c>
      <c r="L10" s="390"/>
      <c r="M10" s="391"/>
      <c r="N10" s="389" t="s">
        <v>235</v>
      </c>
      <c r="O10" s="390"/>
      <c r="P10" s="391"/>
      <c r="Q10" s="390" t="s">
        <v>179</v>
      </c>
      <c r="R10" s="390"/>
      <c r="S10" s="391"/>
    </row>
    <row r="11" spans="1:19" ht="14.25" customHeight="1" x14ac:dyDescent="0.2">
      <c r="A11" s="156"/>
      <c r="B11" s="439"/>
      <c r="C11" s="164" t="s">
        <v>168</v>
      </c>
      <c r="D11" s="392" t="s">
        <v>168</v>
      </c>
      <c r="E11" s="393"/>
      <c r="F11" s="393"/>
      <c r="G11" s="394"/>
      <c r="H11" s="392" t="s">
        <v>168</v>
      </c>
      <c r="I11" s="393"/>
      <c r="J11" s="394"/>
      <c r="K11" s="392" t="s">
        <v>168</v>
      </c>
      <c r="L11" s="393"/>
      <c r="M11" s="394"/>
      <c r="N11" s="420" t="s">
        <v>89</v>
      </c>
      <c r="O11" s="421"/>
      <c r="P11" s="422"/>
      <c r="Q11" s="393" t="s">
        <v>168</v>
      </c>
      <c r="R11" s="393"/>
      <c r="S11" s="394"/>
    </row>
    <row r="12" spans="1:19" ht="22.5" customHeight="1" x14ac:dyDescent="0.2">
      <c r="A12" s="169" t="s">
        <v>183</v>
      </c>
      <c r="B12" s="185"/>
      <c r="C12" s="186"/>
      <c r="D12" s="395"/>
      <c r="E12" s="396"/>
      <c r="F12" s="396"/>
      <c r="G12" s="397"/>
      <c r="H12" s="395"/>
      <c r="I12" s="396"/>
      <c r="J12" s="397"/>
      <c r="K12" s="407">
        <f t="shared" ref="K12:K16" si="0">C12-D12-H12</f>
        <v>0</v>
      </c>
      <c r="L12" s="408"/>
      <c r="M12" s="409"/>
      <c r="N12" s="423">
        <f>'förderfähiger Anteil'!B27</f>
        <v>0</v>
      </c>
      <c r="O12" s="424"/>
      <c r="P12" s="425"/>
      <c r="Q12" s="408">
        <f t="shared" ref="Q12:Q16" si="1">K12*N12/100</f>
        <v>0</v>
      </c>
      <c r="R12" s="408"/>
      <c r="S12" s="409"/>
    </row>
    <row r="13" spans="1:19" ht="22.5" customHeight="1" x14ac:dyDescent="0.2">
      <c r="A13" s="170" t="s">
        <v>184</v>
      </c>
      <c r="B13" s="187"/>
      <c r="C13" s="188"/>
      <c r="D13" s="398"/>
      <c r="E13" s="399"/>
      <c r="F13" s="399"/>
      <c r="G13" s="400"/>
      <c r="H13" s="398"/>
      <c r="I13" s="399"/>
      <c r="J13" s="400"/>
      <c r="K13" s="407">
        <f t="shared" si="0"/>
        <v>0</v>
      </c>
      <c r="L13" s="408"/>
      <c r="M13" s="409"/>
      <c r="N13" s="404">
        <f>'förderfähiger Anteil'!B42</f>
        <v>0</v>
      </c>
      <c r="O13" s="405"/>
      <c r="P13" s="406"/>
      <c r="Q13" s="408">
        <f t="shared" si="1"/>
        <v>0</v>
      </c>
      <c r="R13" s="408"/>
      <c r="S13" s="409"/>
    </row>
    <row r="14" spans="1:19" ht="22.5" customHeight="1" x14ac:dyDescent="0.2">
      <c r="A14" s="170" t="s">
        <v>169</v>
      </c>
      <c r="B14" s="187"/>
      <c r="C14" s="188"/>
      <c r="D14" s="398"/>
      <c r="E14" s="399"/>
      <c r="F14" s="399"/>
      <c r="G14" s="400"/>
      <c r="H14" s="398"/>
      <c r="I14" s="399"/>
      <c r="J14" s="400"/>
      <c r="K14" s="407">
        <f t="shared" si="0"/>
        <v>0</v>
      </c>
      <c r="L14" s="408"/>
      <c r="M14" s="409"/>
      <c r="N14" s="404">
        <v>100</v>
      </c>
      <c r="O14" s="405"/>
      <c r="P14" s="406"/>
      <c r="Q14" s="408">
        <f t="shared" si="1"/>
        <v>0</v>
      </c>
      <c r="R14" s="408"/>
      <c r="S14" s="409"/>
    </row>
    <row r="15" spans="1:19" ht="22.5" customHeight="1" x14ac:dyDescent="0.2">
      <c r="A15" s="184" t="s">
        <v>185</v>
      </c>
      <c r="B15" s="187"/>
      <c r="C15" s="188">
        <v>0</v>
      </c>
      <c r="D15" s="398">
        <v>0</v>
      </c>
      <c r="E15" s="399"/>
      <c r="F15" s="399"/>
      <c r="G15" s="400"/>
      <c r="H15" s="398"/>
      <c r="I15" s="399"/>
      <c r="J15" s="400"/>
      <c r="K15" s="407">
        <f t="shared" si="0"/>
        <v>0</v>
      </c>
      <c r="L15" s="408"/>
      <c r="M15" s="409"/>
      <c r="N15" s="404">
        <v>100</v>
      </c>
      <c r="O15" s="405"/>
      <c r="P15" s="406"/>
      <c r="Q15" s="408">
        <f t="shared" si="1"/>
        <v>0</v>
      </c>
      <c r="R15" s="408"/>
      <c r="S15" s="409"/>
    </row>
    <row r="16" spans="1:19" ht="22.5" customHeight="1" x14ac:dyDescent="0.2">
      <c r="A16" s="172" t="s">
        <v>180</v>
      </c>
      <c r="B16" s="189"/>
      <c r="C16" s="190"/>
      <c r="D16" s="398"/>
      <c r="E16" s="399"/>
      <c r="F16" s="399"/>
      <c r="G16" s="400"/>
      <c r="H16" s="398"/>
      <c r="I16" s="399"/>
      <c r="J16" s="400"/>
      <c r="K16" s="407">
        <f t="shared" si="0"/>
        <v>0</v>
      </c>
      <c r="L16" s="408"/>
      <c r="M16" s="409"/>
      <c r="N16" s="404">
        <v>100</v>
      </c>
      <c r="O16" s="405"/>
      <c r="P16" s="406"/>
      <c r="Q16" s="408">
        <f t="shared" si="1"/>
        <v>0</v>
      </c>
      <c r="R16" s="408"/>
      <c r="S16" s="409"/>
    </row>
    <row r="17" spans="1:19" ht="22.5" customHeight="1" x14ac:dyDescent="0.2">
      <c r="A17" s="172" t="s">
        <v>187</v>
      </c>
      <c r="B17" s="189"/>
      <c r="C17" s="190">
        <v>0</v>
      </c>
      <c r="D17" s="398"/>
      <c r="E17" s="399"/>
      <c r="F17" s="399"/>
      <c r="G17" s="400"/>
      <c r="H17" s="398"/>
      <c r="I17" s="399"/>
      <c r="J17" s="400"/>
      <c r="K17" s="407">
        <f>C17-D17-H17</f>
        <v>0</v>
      </c>
      <c r="L17" s="408"/>
      <c r="M17" s="409"/>
      <c r="N17" s="404">
        <v>100</v>
      </c>
      <c r="O17" s="405"/>
      <c r="P17" s="406"/>
      <c r="Q17" s="408">
        <f>K17*N17/100</f>
        <v>0</v>
      </c>
      <c r="R17" s="408"/>
      <c r="S17" s="409"/>
    </row>
    <row r="18" spans="1:19" ht="22.5" customHeight="1" x14ac:dyDescent="0.2">
      <c r="A18" s="171" t="s">
        <v>170</v>
      </c>
      <c r="B18" s="191"/>
      <c r="C18" s="192"/>
      <c r="D18" s="401"/>
      <c r="E18" s="402"/>
      <c r="F18" s="402"/>
      <c r="G18" s="403"/>
      <c r="H18" s="401"/>
      <c r="I18" s="402"/>
      <c r="J18" s="403"/>
      <c r="K18" s="401"/>
      <c r="L18" s="402"/>
      <c r="M18" s="403"/>
      <c r="N18" s="411"/>
      <c r="O18" s="412"/>
      <c r="P18" s="413"/>
      <c r="Q18" s="402"/>
      <c r="R18" s="402"/>
      <c r="S18" s="403"/>
    </row>
    <row r="19" spans="1:19" ht="18" customHeight="1" thickBot="1" x14ac:dyDescent="0.3">
      <c r="A19" s="168" t="s">
        <v>203</v>
      </c>
      <c r="B19" s="165"/>
      <c r="C19" s="175">
        <f>SUM(C12:C18)</f>
        <v>0</v>
      </c>
      <c r="D19" s="386">
        <f>SUM(D12:G17)</f>
        <v>0</v>
      </c>
      <c r="E19" s="387"/>
      <c r="F19" s="387"/>
      <c r="G19" s="388"/>
      <c r="H19" s="386">
        <f>SUM(H12:J17)</f>
        <v>0</v>
      </c>
      <c r="I19" s="387"/>
      <c r="J19" s="388"/>
      <c r="K19" s="386">
        <f>SUM(K12:M17)</f>
        <v>0</v>
      </c>
      <c r="L19" s="387"/>
      <c r="M19" s="388"/>
      <c r="N19" s="414"/>
      <c r="O19" s="415"/>
      <c r="P19" s="416"/>
      <c r="Q19" s="387">
        <f>SUM(Q12:S17)</f>
        <v>0</v>
      </c>
      <c r="R19" s="387"/>
      <c r="S19" s="388"/>
    </row>
    <row r="20" spans="1:19" ht="18" customHeight="1" thickTop="1" x14ac:dyDescent="0.25">
      <c r="A20" s="167" t="s">
        <v>215</v>
      </c>
      <c r="B20" s="166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417"/>
      <c r="O20" s="418"/>
      <c r="P20" s="419"/>
      <c r="Q20" s="426">
        <f>IF('förderfähiger Anteil'!B17&gt;3,0,IF(Q19&gt;200000,70000,IF(Q19&lt;10000,0,Q19*0.35)))</f>
        <v>0</v>
      </c>
      <c r="R20" s="426"/>
      <c r="S20" s="427"/>
    </row>
    <row r="21" spans="1:19" ht="12" customHeight="1" x14ac:dyDescent="0.2"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</row>
    <row r="22" spans="1:19" ht="18" customHeight="1" x14ac:dyDescent="0.2">
      <c r="A22" s="159" t="s">
        <v>171</v>
      </c>
      <c r="B22" s="159"/>
      <c r="C22" s="159"/>
      <c r="D22" s="436"/>
      <c r="E22" s="437"/>
      <c r="F22" s="437"/>
      <c r="G22" s="437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</row>
    <row r="23" spans="1:19" ht="18" customHeight="1" x14ac:dyDescent="0.2">
      <c r="A23" s="160"/>
      <c r="B23" s="160"/>
      <c r="C23" s="173" t="s">
        <v>168</v>
      </c>
      <c r="D23" s="432"/>
      <c r="E23" s="433"/>
      <c r="F23" s="433"/>
      <c r="G23" s="433"/>
    </row>
    <row r="24" spans="1:19" ht="18" customHeight="1" x14ac:dyDescent="0.2">
      <c r="A24" s="161" t="s">
        <v>172</v>
      </c>
      <c r="B24" s="161"/>
      <c r="C24" s="194"/>
      <c r="D24" s="434"/>
      <c r="E24" s="435"/>
      <c r="F24" s="435"/>
      <c r="G24" s="435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</row>
    <row r="25" spans="1:19" ht="18" customHeight="1" x14ac:dyDescent="0.2">
      <c r="A25" s="157" t="s">
        <v>173</v>
      </c>
      <c r="B25" s="157"/>
      <c r="C25" s="188"/>
      <c r="D25" s="430"/>
      <c r="E25" s="431"/>
      <c r="F25" s="431"/>
      <c r="G25" s="431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</row>
    <row r="26" spans="1:19" ht="18" customHeight="1" x14ac:dyDescent="0.2">
      <c r="A26" s="157" t="s">
        <v>174</v>
      </c>
      <c r="B26" s="157"/>
      <c r="C26" s="188"/>
      <c r="D26" s="430"/>
      <c r="E26" s="431"/>
      <c r="F26" s="431"/>
      <c r="G26" s="431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</row>
    <row r="27" spans="1:19" ht="18" customHeight="1" x14ac:dyDescent="0.2">
      <c r="A27" s="158" t="s">
        <v>175</v>
      </c>
      <c r="B27" s="158"/>
      <c r="C27" s="195">
        <f>Q20</f>
        <v>0</v>
      </c>
      <c r="D27" s="430"/>
      <c r="E27" s="431"/>
      <c r="F27" s="431"/>
      <c r="G27" s="431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</row>
    <row r="28" spans="1:19" ht="18" customHeight="1" x14ac:dyDescent="0.2">
      <c r="A28" s="174" t="s">
        <v>201</v>
      </c>
      <c r="B28" s="174"/>
      <c r="C28" s="163">
        <f>SUM(C24:C27)</f>
        <v>0</v>
      </c>
      <c r="D28" s="428"/>
      <c r="E28" s="429"/>
      <c r="F28" s="429"/>
      <c r="G28" s="429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</row>
    <row r="29" spans="1:19" ht="5.25" customHeight="1" x14ac:dyDescent="0.2"/>
    <row r="30" spans="1:19" x14ac:dyDescent="0.2">
      <c r="A30" s="162" t="s">
        <v>176</v>
      </c>
      <c r="B30" s="162"/>
      <c r="C30" s="162"/>
    </row>
    <row r="31" spans="1:19" x14ac:dyDescent="0.2">
      <c r="A31" s="162" t="s">
        <v>181</v>
      </c>
      <c r="B31" s="162"/>
      <c r="C31" s="162"/>
    </row>
    <row r="32" spans="1:19" x14ac:dyDescent="0.2">
      <c r="A32" s="162" t="s">
        <v>182</v>
      </c>
      <c r="B32" s="162"/>
      <c r="C32" s="162"/>
    </row>
    <row r="33" spans="1:16" x14ac:dyDescent="0.2">
      <c r="A33" s="162" t="s">
        <v>186</v>
      </c>
      <c r="B33" s="162"/>
      <c r="C33" s="162"/>
    </row>
    <row r="34" spans="1:16" x14ac:dyDescent="0.2">
      <c r="A34" s="162" t="s">
        <v>177</v>
      </c>
      <c r="B34" s="162"/>
      <c r="C34" s="162"/>
    </row>
    <row r="35" spans="1:16" x14ac:dyDescent="0.2">
      <c r="A35" s="162" t="s">
        <v>202</v>
      </c>
      <c r="P35" s="183" t="str">
        <f>'GV-Berechnung-Gülleanfall'!O66</f>
        <v>Stand: 11.11.2020</v>
      </c>
    </row>
  </sheetData>
  <sheetProtection algorithmName="SHA-512" hashValue="L6DMN7UMsJ6MvfwXQ1jUmP3cauVbJ+Z7sW9j07v3671EnKRWDi7B4lGu92c0l0OLCAWn0zVHU/BowOWC3M3jfQ==" saltValue="nm+WafOF/L9634mwQ7HpEQ==" spinCount="100000" sheet="1" selectLockedCells="1"/>
  <mergeCells count="88">
    <mergeCell ref="B10:B11"/>
    <mergeCell ref="A4:S4"/>
    <mergeCell ref="E7:G7"/>
    <mergeCell ref="H7:I7"/>
    <mergeCell ref="J7:L7"/>
    <mergeCell ref="M7:O7"/>
    <mergeCell ref="P7:S7"/>
    <mergeCell ref="D10:G10"/>
    <mergeCell ref="D11:G11"/>
    <mergeCell ref="D12:G12"/>
    <mergeCell ref="D13:G13"/>
    <mergeCell ref="Q12:S12"/>
    <mergeCell ref="Q13:S13"/>
    <mergeCell ref="N13:P13"/>
    <mergeCell ref="D14:G14"/>
    <mergeCell ref="D15:G15"/>
    <mergeCell ref="Q14:S14"/>
    <mergeCell ref="Q15:S15"/>
    <mergeCell ref="N14:P14"/>
    <mergeCell ref="N15:P15"/>
    <mergeCell ref="K15:M15"/>
    <mergeCell ref="K14:M14"/>
    <mergeCell ref="P22:S22"/>
    <mergeCell ref="D23:G23"/>
    <mergeCell ref="D16:G16"/>
    <mergeCell ref="D24:G24"/>
    <mergeCell ref="H24:K24"/>
    <mergeCell ref="L24:O24"/>
    <mergeCell ref="P24:S24"/>
    <mergeCell ref="D19:G19"/>
    <mergeCell ref="D21:G21"/>
    <mergeCell ref="H21:K21"/>
    <mergeCell ref="L21:O21"/>
    <mergeCell ref="P21:S21"/>
    <mergeCell ref="D18:G18"/>
    <mergeCell ref="D17:G17"/>
    <mergeCell ref="D22:G22"/>
    <mergeCell ref="H22:K22"/>
    <mergeCell ref="P25:S25"/>
    <mergeCell ref="D26:G26"/>
    <mergeCell ref="H26:K26"/>
    <mergeCell ref="L26:O26"/>
    <mergeCell ref="P26:S26"/>
    <mergeCell ref="D25:G25"/>
    <mergeCell ref="H25:K25"/>
    <mergeCell ref="L25:O25"/>
    <mergeCell ref="P27:S27"/>
    <mergeCell ref="D28:G28"/>
    <mergeCell ref="H28:K28"/>
    <mergeCell ref="L28:O28"/>
    <mergeCell ref="P28:S28"/>
    <mergeCell ref="D27:G27"/>
    <mergeCell ref="H27:K27"/>
    <mergeCell ref="L27:O27"/>
    <mergeCell ref="L22:O22"/>
    <mergeCell ref="N18:P18"/>
    <mergeCell ref="N19:P19"/>
    <mergeCell ref="N20:P20"/>
    <mergeCell ref="Q10:S10"/>
    <mergeCell ref="Q11:S11"/>
    <mergeCell ref="N10:P10"/>
    <mergeCell ref="N11:P11"/>
    <mergeCell ref="N12:P12"/>
    <mergeCell ref="Q16:S16"/>
    <mergeCell ref="Q17:S17"/>
    <mergeCell ref="Q18:S18"/>
    <mergeCell ref="Q19:S19"/>
    <mergeCell ref="Q20:S20"/>
    <mergeCell ref="K12:M12"/>
    <mergeCell ref="K13:M13"/>
    <mergeCell ref="N16:P16"/>
    <mergeCell ref="N17:P17"/>
    <mergeCell ref="K16:M16"/>
    <mergeCell ref="K17:M17"/>
    <mergeCell ref="K18:M18"/>
    <mergeCell ref="K19:M19"/>
    <mergeCell ref="H10:J10"/>
    <mergeCell ref="H11:J11"/>
    <mergeCell ref="H12:J12"/>
    <mergeCell ref="H13:J13"/>
    <mergeCell ref="H14:J14"/>
    <mergeCell ref="H15:J15"/>
    <mergeCell ref="H16:J16"/>
    <mergeCell ref="H17:J17"/>
    <mergeCell ref="H19:J19"/>
    <mergeCell ref="H18:J18"/>
    <mergeCell ref="K10:M10"/>
    <mergeCell ref="K11:M11"/>
  </mergeCells>
  <pageMargins left="0.70866141732283472" right="0.31496062992125984" top="0.59055118110236227" bottom="0.19685039370078741" header="0.31496062992125984" footer="0.31496062992125984"/>
  <pageSetup paperSize="9" scale="9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showGridLines="0" workbookViewId="0">
      <selection activeCell="Y10" sqref="Y10"/>
    </sheetView>
  </sheetViews>
  <sheetFormatPr baseColWidth="10" defaultRowHeight="12.75" x14ac:dyDescent="0.2"/>
  <cols>
    <col min="1" max="1" width="11.7109375" style="197" customWidth="1"/>
    <col min="2" max="2" width="16" style="197" customWidth="1"/>
    <col min="3" max="18" width="3.5703125" style="197" customWidth="1"/>
    <col min="19" max="20" width="11.42578125" style="197" hidden="1" customWidth="1"/>
    <col min="21" max="21" width="30" style="197" hidden="1" customWidth="1"/>
    <col min="22" max="22" width="11.42578125" style="197" hidden="1" customWidth="1"/>
    <col min="23" max="23" width="11.42578125" style="197" customWidth="1"/>
    <col min="24" max="16384" width="11.42578125" style="197"/>
  </cols>
  <sheetData>
    <row r="1" spans="1:22" ht="15" x14ac:dyDescent="0.25">
      <c r="A1" s="179" t="s">
        <v>191</v>
      </c>
    </row>
    <row r="2" spans="1:22" ht="15" x14ac:dyDescent="0.25">
      <c r="A2" s="181" t="s">
        <v>192</v>
      </c>
    </row>
    <row r="3" spans="1:22" ht="15" x14ac:dyDescent="0.25">
      <c r="A3" s="181" t="s">
        <v>193</v>
      </c>
    </row>
    <row r="5" spans="1:22" x14ac:dyDescent="0.2">
      <c r="A5" s="385">
        <f>'GV-Berechnung-Gülleanfall'!A4:R4</f>
        <v>0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214"/>
    </row>
    <row r="6" spans="1:22" x14ac:dyDescent="0.2">
      <c r="A6" s="3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R6" s="28"/>
    </row>
    <row r="7" spans="1:22" x14ac:dyDescent="0.2">
      <c r="D7" s="9" t="s">
        <v>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22" x14ac:dyDescent="0.2">
      <c r="D8" s="308" t="s">
        <v>2</v>
      </c>
      <c r="E8" s="309"/>
      <c r="F8" s="310"/>
      <c r="G8" s="308" t="s">
        <v>3</v>
      </c>
      <c r="H8" s="310"/>
      <c r="I8" s="308" t="s">
        <v>4</v>
      </c>
      <c r="J8" s="309"/>
      <c r="K8" s="310"/>
      <c r="L8" s="308" t="s">
        <v>7</v>
      </c>
      <c r="M8" s="309"/>
      <c r="N8" s="310"/>
      <c r="O8" s="308" t="s">
        <v>5</v>
      </c>
      <c r="P8" s="309"/>
      <c r="Q8" s="309"/>
      <c r="R8" s="216"/>
    </row>
    <row r="9" spans="1:22" ht="18" x14ac:dyDescent="0.25">
      <c r="A9" s="16"/>
      <c r="B9" s="16"/>
      <c r="C9" s="16"/>
      <c r="D9" s="5">
        <v>2</v>
      </c>
      <c r="E9" s="5">
        <v>7</v>
      </c>
      <c r="F9" s="5">
        <v>6</v>
      </c>
      <c r="G9" s="17" t="s">
        <v>9</v>
      </c>
      <c r="H9" s="5">
        <v>3</v>
      </c>
      <c r="I9" s="215">
        <f>'GV-Berechnung-Gülleanfall'!I8</f>
        <v>0</v>
      </c>
      <c r="J9" s="215">
        <f>'GV-Berechnung-Gülleanfall'!J8</f>
        <v>0</v>
      </c>
      <c r="K9" s="215">
        <f>'GV-Berechnung-Gülleanfall'!K8</f>
        <v>0</v>
      </c>
      <c r="L9" s="215">
        <f>'GV-Berechnung-Gülleanfall'!L8</f>
        <v>0</v>
      </c>
      <c r="M9" s="215">
        <f>'GV-Berechnung-Gülleanfall'!M8</f>
        <v>0</v>
      </c>
      <c r="N9" s="215">
        <f>'GV-Berechnung-Gülleanfall'!N8</f>
        <v>0</v>
      </c>
      <c r="O9" s="215">
        <f>'GV-Berechnung-Gülleanfall'!O8</f>
        <v>0</v>
      </c>
      <c r="P9" s="215">
        <f>'GV-Berechnung-Gülleanfall'!P8</f>
        <v>0</v>
      </c>
      <c r="Q9" s="215">
        <f>'GV-Berechnung-Gülleanfall'!Q8</f>
        <v>0</v>
      </c>
      <c r="R9" s="215">
        <f>'GV-Berechnung-Gülleanfall'!R8</f>
        <v>0</v>
      </c>
    </row>
    <row r="12" spans="1:22" ht="15" x14ac:dyDescent="0.25">
      <c r="A12" s="181" t="s">
        <v>194</v>
      </c>
    </row>
    <row r="13" spans="1:22" ht="15" x14ac:dyDescent="0.25">
      <c r="A13" s="181"/>
      <c r="T13" s="196" t="s">
        <v>196</v>
      </c>
      <c r="U13" s="196" t="s">
        <v>195</v>
      </c>
      <c r="V13" s="200" t="s">
        <v>34</v>
      </c>
    </row>
    <row r="14" spans="1:22" ht="15" x14ac:dyDescent="0.25">
      <c r="A14" s="181" t="s">
        <v>199</v>
      </c>
      <c r="B14" s="201"/>
      <c r="C14" s="201"/>
      <c r="D14" s="201"/>
      <c r="E14" s="202">
        <f>V19</f>
        <v>1</v>
      </c>
      <c r="F14" s="181" t="str">
        <f>U19</f>
        <v>separate Wirtschaftsdüngerlager</v>
      </c>
      <c r="G14" s="181"/>
      <c r="H14" s="181"/>
      <c r="I14" s="181"/>
      <c r="J14" s="181"/>
      <c r="K14" s="181"/>
      <c r="L14" s="181"/>
      <c r="M14" s="181"/>
      <c r="N14" s="201"/>
      <c r="O14" s="201"/>
      <c r="P14" s="201"/>
      <c r="T14" s="203">
        <f>Finanzierungsplan!N12+Finanzierungsplan!Q13</f>
        <v>0</v>
      </c>
      <c r="U14" s="196" t="s">
        <v>198</v>
      </c>
      <c r="V14" s="197">
        <v>1</v>
      </c>
    </row>
    <row r="15" spans="1:22" ht="14.25" x14ac:dyDescent="0.2">
      <c r="A15" s="204"/>
      <c r="B15" s="200"/>
      <c r="C15" s="200"/>
      <c r="D15" s="200"/>
      <c r="E15" s="200"/>
      <c r="T15" s="203">
        <f>Finanzierungsplan!Q15</f>
        <v>0</v>
      </c>
      <c r="U15" s="196" t="s">
        <v>197</v>
      </c>
      <c r="V15" s="197">
        <v>2</v>
      </c>
    </row>
    <row r="16" spans="1:22" ht="24" customHeight="1" x14ac:dyDescent="0.25">
      <c r="A16" s="181" t="s">
        <v>217</v>
      </c>
      <c r="T16" s="203">
        <f>Finanzierungsplan!Q16</f>
        <v>0</v>
      </c>
      <c r="U16" s="182" t="s">
        <v>180</v>
      </c>
      <c r="V16" s="197">
        <v>3</v>
      </c>
    </row>
    <row r="17" spans="1:22" s="201" customFormat="1" ht="21.75" customHeight="1" x14ac:dyDescent="0.25">
      <c r="A17" s="205"/>
      <c r="B17" s="206"/>
      <c r="C17" s="206"/>
      <c r="D17" s="206"/>
      <c r="E17" s="440" t="s">
        <v>135</v>
      </c>
      <c r="F17" s="441"/>
      <c r="G17" s="441"/>
      <c r="H17" s="442"/>
      <c r="T17" s="203">
        <f>Finanzierungsplan!Q17</f>
        <v>0</v>
      </c>
      <c r="U17" s="182" t="s">
        <v>187</v>
      </c>
      <c r="V17" s="201">
        <v>4</v>
      </c>
    </row>
    <row r="18" spans="1:22" s="201" customFormat="1" ht="21" customHeight="1" x14ac:dyDescent="0.2">
      <c r="A18" s="207"/>
      <c r="B18" s="206"/>
      <c r="C18" s="206"/>
      <c r="D18" s="206"/>
      <c r="E18" s="444"/>
      <c r="F18" s="445"/>
      <c r="G18" s="445"/>
      <c r="H18" s="208"/>
      <c r="U18" s="209"/>
      <c r="V18" s="209"/>
    </row>
    <row r="19" spans="1:22" s="201" customFormat="1" ht="21" customHeight="1" x14ac:dyDescent="0.2">
      <c r="A19" s="207" t="s">
        <v>218</v>
      </c>
      <c r="B19" s="206"/>
      <c r="C19" s="206"/>
      <c r="D19" s="206"/>
      <c r="E19" s="446">
        <f>'GV-Berechnung-Gülleanfall'!X45</f>
        <v>0</v>
      </c>
      <c r="F19" s="447"/>
      <c r="G19" s="447"/>
      <c r="H19" s="208"/>
      <c r="T19" s="210">
        <f>MAX(T14:T17)</f>
        <v>0</v>
      </c>
      <c r="U19" s="200" t="str">
        <f>VLOOKUP(T19,T14:V17,2,FALSE)</f>
        <v>separate Wirtschaftsdüngerlager</v>
      </c>
      <c r="V19" s="200">
        <f>VLOOKUP(T19,T14:V17,3,FALSE)</f>
        <v>1</v>
      </c>
    </row>
    <row r="20" spans="1:22" s="201" customFormat="1" ht="21" customHeight="1" x14ac:dyDescent="0.2">
      <c r="A20" s="207" t="s">
        <v>219</v>
      </c>
      <c r="B20" s="206"/>
      <c r="C20" s="211"/>
      <c r="D20" s="206"/>
      <c r="E20" s="446">
        <f>IF(S20=FALSE,0,-0.2)</f>
        <v>0</v>
      </c>
      <c r="F20" s="447"/>
      <c r="G20" s="447"/>
      <c r="H20" s="208"/>
      <c r="S20" s="193" t="b">
        <v>0</v>
      </c>
    </row>
    <row r="21" spans="1:22" s="201" customFormat="1" ht="21" customHeight="1" x14ac:dyDescent="0.2">
      <c r="A21" s="207" t="s">
        <v>220</v>
      </c>
      <c r="B21" s="206"/>
      <c r="C21" s="211"/>
      <c r="D21" s="206"/>
      <c r="E21" s="446">
        <f>IF(S21=FALSE,0,-0.3)</f>
        <v>0</v>
      </c>
      <c r="F21" s="447"/>
      <c r="G21" s="447"/>
      <c r="H21" s="208"/>
      <c r="S21" s="193" t="b">
        <v>0</v>
      </c>
    </row>
    <row r="22" spans="1:22" ht="21" customHeight="1" x14ac:dyDescent="0.25">
      <c r="A22" s="205" t="s">
        <v>190</v>
      </c>
      <c r="B22" s="212"/>
      <c r="C22" s="212"/>
      <c r="D22" s="212"/>
      <c r="E22" s="213"/>
      <c r="F22" s="443">
        <f>SUM(E18:G21)</f>
        <v>0</v>
      </c>
      <c r="G22" s="443"/>
      <c r="H22" s="208"/>
    </row>
    <row r="26" spans="1:22" x14ac:dyDescent="0.2">
      <c r="A26" s="200" t="s">
        <v>221</v>
      </c>
    </row>
    <row r="27" spans="1:22" x14ac:dyDescent="0.2">
      <c r="A27" s="200" t="s">
        <v>222</v>
      </c>
    </row>
    <row r="28" spans="1:22" x14ac:dyDescent="0.2">
      <c r="A28" s="200" t="s">
        <v>223</v>
      </c>
    </row>
    <row r="49" spans="13:13" x14ac:dyDescent="0.2">
      <c r="M49" s="183" t="str">
        <f>'GV-Berechnung-Gülleanfall'!O66</f>
        <v>Stand: 11.11.2020</v>
      </c>
    </row>
  </sheetData>
  <sheetProtection algorithmName="SHA-512" hashValue="rl3qfYi+LBwhj/Gr5BCshCUGM4RT/mJFrLRxqQ0oVvUv4hKPbTuApdL4MBpbufiL3X1ye3q3dCHtoHxxWtTKjw==" saltValue="knVWGiVxwfsRrEr0P2fPsA==" spinCount="100000" sheet="1" selectLockedCells="1"/>
  <mergeCells count="12">
    <mergeCell ref="F22:G22"/>
    <mergeCell ref="E18:G18"/>
    <mergeCell ref="E19:G19"/>
    <mergeCell ref="E20:G20"/>
    <mergeCell ref="E21:G21"/>
    <mergeCell ref="E17:H17"/>
    <mergeCell ref="A5:Q5"/>
    <mergeCell ref="D8:F8"/>
    <mergeCell ref="G8:H8"/>
    <mergeCell ref="I8:K8"/>
    <mergeCell ref="L8:N8"/>
    <mergeCell ref="O8:Q8"/>
  </mergeCells>
  <pageMargins left="0.9055118110236221" right="0.7086614173228347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18</xdr:row>
                    <xdr:rowOff>257175</xdr:rowOff>
                  </from>
                  <to>
                    <xdr:col>3</xdr:col>
                    <xdr:colOff>47625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 altText="">
                <anchor moveWithCells="1">
                  <from>
                    <xdr:col>2</xdr:col>
                    <xdr:colOff>28575</xdr:colOff>
                    <xdr:row>20</xdr:row>
                    <xdr:rowOff>19050</xdr:rowOff>
                  </from>
                  <to>
                    <xdr:col>3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257175</xdr:rowOff>
                  </from>
                  <to>
                    <xdr:col>3</xdr:col>
                    <xdr:colOff>95250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69"/>
  <sheetViews>
    <sheetView showGridLines="0" showRowColHeaders="0" workbookViewId="0">
      <pane ySplit="4" topLeftCell="A5" activePane="bottomLeft" state="frozen"/>
      <selection pane="bottomLeft" activeCell="D68" sqref="D68"/>
    </sheetView>
  </sheetViews>
  <sheetFormatPr baseColWidth="10" defaultRowHeight="12.75" x14ac:dyDescent="0.2"/>
  <cols>
    <col min="1" max="1" width="37.85546875" bestFit="1" customWidth="1"/>
    <col min="6" max="6" width="12.42578125" bestFit="1" customWidth="1"/>
  </cols>
  <sheetData>
    <row r="1" spans="1:6" ht="12.75" customHeight="1" x14ac:dyDescent="0.2">
      <c r="A1" s="112"/>
      <c r="B1" s="448" t="s">
        <v>120</v>
      </c>
      <c r="C1" s="449"/>
      <c r="D1" s="450"/>
      <c r="E1" s="124"/>
      <c r="F1" s="113"/>
    </row>
    <row r="2" spans="1:6" x14ac:dyDescent="0.2">
      <c r="A2" s="114" t="s">
        <v>10</v>
      </c>
      <c r="B2" s="115"/>
      <c r="C2" s="116"/>
      <c r="D2" s="117" t="s">
        <v>121</v>
      </c>
      <c r="E2" s="123" t="s">
        <v>123</v>
      </c>
      <c r="F2" s="125"/>
    </row>
    <row r="3" spans="1:6" x14ac:dyDescent="0.2">
      <c r="A3" s="114"/>
      <c r="B3" s="118" t="s">
        <v>6</v>
      </c>
      <c r="C3" s="119" t="s">
        <v>0</v>
      </c>
      <c r="D3" s="119" t="s">
        <v>122</v>
      </c>
      <c r="E3" s="118" t="s">
        <v>124</v>
      </c>
      <c r="F3" s="119" t="s">
        <v>118</v>
      </c>
    </row>
    <row r="4" spans="1:6" x14ac:dyDescent="0.2">
      <c r="A4" s="120"/>
      <c r="B4" s="121" t="s">
        <v>30</v>
      </c>
      <c r="C4" s="122" t="s">
        <v>30</v>
      </c>
      <c r="D4" s="122" t="s">
        <v>30</v>
      </c>
      <c r="E4" s="121" t="s">
        <v>125</v>
      </c>
      <c r="F4" s="122" t="s">
        <v>119</v>
      </c>
    </row>
    <row r="5" spans="1:6" x14ac:dyDescent="0.2">
      <c r="A5" s="77" t="s">
        <v>14</v>
      </c>
      <c r="B5" s="34"/>
      <c r="C5" s="87"/>
      <c r="D5" s="87"/>
      <c r="E5" s="34"/>
      <c r="F5" s="87"/>
    </row>
    <row r="6" spans="1:6" x14ac:dyDescent="0.2">
      <c r="A6" s="127" t="s">
        <v>57</v>
      </c>
      <c r="B6" s="128">
        <v>27</v>
      </c>
      <c r="C6" s="110">
        <v>14</v>
      </c>
      <c r="D6" s="129">
        <v>18</v>
      </c>
      <c r="E6" s="130">
        <v>1.25</v>
      </c>
      <c r="F6" s="110">
        <v>1</v>
      </c>
    </row>
    <row r="7" spans="1:6" x14ac:dyDescent="0.2">
      <c r="A7" s="127" t="s">
        <v>58</v>
      </c>
      <c r="B7" s="128">
        <v>28</v>
      </c>
      <c r="C7" s="110">
        <v>14.4</v>
      </c>
      <c r="D7" s="129">
        <v>18.8</v>
      </c>
      <c r="E7" s="130">
        <v>1.25</v>
      </c>
      <c r="F7" s="110">
        <v>1</v>
      </c>
    </row>
    <row r="8" spans="1:6" x14ac:dyDescent="0.2">
      <c r="A8" s="127" t="s">
        <v>59</v>
      </c>
      <c r="B8" s="128">
        <v>29</v>
      </c>
      <c r="C8" s="110">
        <v>14.8</v>
      </c>
      <c r="D8" s="129">
        <v>20</v>
      </c>
      <c r="E8" s="130">
        <v>1.25</v>
      </c>
      <c r="F8" s="110">
        <v>1</v>
      </c>
    </row>
    <row r="9" spans="1:6" x14ac:dyDescent="0.2">
      <c r="A9" s="127" t="s">
        <v>60</v>
      </c>
      <c r="B9" s="128">
        <v>30</v>
      </c>
      <c r="C9" s="129">
        <v>15.2</v>
      </c>
      <c r="D9" s="129">
        <v>21.3</v>
      </c>
      <c r="E9" s="130">
        <v>1.25</v>
      </c>
      <c r="F9" s="110">
        <v>1</v>
      </c>
    </row>
    <row r="10" spans="1:6" x14ac:dyDescent="0.2">
      <c r="A10" s="127" t="s">
        <v>62</v>
      </c>
      <c r="B10" s="128">
        <v>21.4</v>
      </c>
      <c r="C10" s="129">
        <v>8.4</v>
      </c>
      <c r="D10" s="129">
        <v>18</v>
      </c>
      <c r="E10" s="130">
        <v>1.25</v>
      </c>
      <c r="F10" s="110">
        <v>1</v>
      </c>
    </row>
    <row r="11" spans="1:6" x14ac:dyDescent="0.2">
      <c r="A11" s="127" t="s">
        <v>63</v>
      </c>
      <c r="B11" s="128">
        <v>22.4</v>
      </c>
      <c r="C11" s="129">
        <v>8.8000000000000007</v>
      </c>
      <c r="D11" s="129">
        <v>18.8</v>
      </c>
      <c r="E11" s="130">
        <v>1.25</v>
      </c>
      <c r="F11" s="110">
        <v>1</v>
      </c>
    </row>
    <row r="12" spans="1:6" x14ac:dyDescent="0.2">
      <c r="A12" s="127" t="s">
        <v>64</v>
      </c>
      <c r="B12" s="128">
        <v>23.4</v>
      </c>
      <c r="C12" s="129">
        <v>9.1999999999999993</v>
      </c>
      <c r="D12" s="129">
        <v>20</v>
      </c>
      <c r="E12" s="130">
        <v>1.25</v>
      </c>
      <c r="F12" s="110">
        <v>1</v>
      </c>
    </row>
    <row r="13" spans="1:6" x14ac:dyDescent="0.2">
      <c r="A13" s="128" t="s">
        <v>61</v>
      </c>
      <c r="B13" s="128">
        <v>24.4</v>
      </c>
      <c r="C13" s="129">
        <v>9.6</v>
      </c>
      <c r="D13" s="129">
        <v>21.3</v>
      </c>
      <c r="E13" s="130">
        <v>1.25</v>
      </c>
      <c r="F13" s="110">
        <v>1</v>
      </c>
    </row>
    <row r="14" spans="1:6" x14ac:dyDescent="0.2">
      <c r="A14" s="128" t="s">
        <v>86</v>
      </c>
      <c r="B14" s="128">
        <v>14.1</v>
      </c>
      <c r="C14" s="110">
        <v>3.6</v>
      </c>
      <c r="D14" s="110">
        <v>15.1</v>
      </c>
      <c r="E14" s="130">
        <v>1.25</v>
      </c>
      <c r="F14" s="110">
        <v>1</v>
      </c>
    </row>
    <row r="15" spans="1:6" x14ac:dyDescent="0.2">
      <c r="A15" s="127" t="s">
        <v>36</v>
      </c>
      <c r="B15" s="128">
        <v>11.4</v>
      </c>
      <c r="C15" s="110">
        <v>2.9</v>
      </c>
      <c r="D15" s="110">
        <v>12.3</v>
      </c>
      <c r="E15" s="130">
        <v>1.25</v>
      </c>
      <c r="F15" s="110">
        <v>0.7</v>
      </c>
    </row>
    <row r="16" spans="1:6" x14ac:dyDescent="0.2">
      <c r="A16" s="128" t="s">
        <v>87</v>
      </c>
      <c r="B16" s="128">
        <v>7.4</v>
      </c>
      <c r="C16" s="110">
        <v>1.9</v>
      </c>
      <c r="D16" s="110">
        <v>8</v>
      </c>
      <c r="E16" s="130">
        <v>1.25</v>
      </c>
      <c r="F16" s="110">
        <v>0.3</v>
      </c>
    </row>
    <row r="17" spans="1:6" x14ac:dyDescent="0.2">
      <c r="A17" s="127" t="s">
        <v>37</v>
      </c>
      <c r="B17" s="128">
        <v>4.5999999999999996</v>
      </c>
      <c r="C17" s="110">
        <v>1.2</v>
      </c>
      <c r="D17" s="110">
        <v>4.9000000000000004</v>
      </c>
      <c r="E17" s="130">
        <v>1.25</v>
      </c>
      <c r="F17" s="110">
        <v>0.3</v>
      </c>
    </row>
    <row r="18" spans="1:6" x14ac:dyDescent="0.2">
      <c r="A18" s="127" t="s">
        <v>65</v>
      </c>
      <c r="B18" s="130">
        <v>16</v>
      </c>
      <c r="C18" s="129">
        <v>5.5</v>
      </c>
      <c r="D18" s="110">
        <v>15</v>
      </c>
      <c r="E18" s="130">
        <v>1.25</v>
      </c>
      <c r="F18" s="110">
        <v>1</v>
      </c>
    </row>
    <row r="19" spans="1:6" ht="12" customHeight="1" x14ac:dyDescent="0.2">
      <c r="A19" s="127" t="s">
        <v>66</v>
      </c>
      <c r="B19" s="128">
        <v>20</v>
      </c>
      <c r="C19" s="129">
        <v>6</v>
      </c>
      <c r="D19" s="110">
        <v>19.8</v>
      </c>
      <c r="E19" s="130">
        <v>1.25</v>
      </c>
      <c r="F19" s="110">
        <v>1</v>
      </c>
    </row>
    <row r="20" spans="1:6" ht="12" customHeight="1" x14ac:dyDescent="0.2">
      <c r="A20" s="131" t="s">
        <v>14</v>
      </c>
      <c r="B20" s="128"/>
      <c r="C20" s="110"/>
      <c r="D20" s="110"/>
      <c r="E20" s="128"/>
      <c r="F20" s="110"/>
    </row>
    <row r="21" spans="1:6" x14ac:dyDescent="0.2">
      <c r="A21" s="127" t="s">
        <v>71</v>
      </c>
      <c r="B21" s="128">
        <v>6.7</v>
      </c>
      <c r="C21" s="110">
        <v>2.4</v>
      </c>
      <c r="D21" s="110">
        <v>5.8</v>
      </c>
      <c r="E21" s="128">
        <v>1.25</v>
      </c>
      <c r="F21" s="110">
        <v>0.45</v>
      </c>
    </row>
    <row r="22" spans="1:6" x14ac:dyDescent="0.2">
      <c r="A22" s="127" t="s">
        <v>73</v>
      </c>
      <c r="B22" s="128">
        <v>9.6999999999999993</v>
      </c>
      <c r="C22" s="110">
        <v>3.5</v>
      </c>
      <c r="D22" s="110">
        <v>8.3000000000000007</v>
      </c>
      <c r="E22" s="128">
        <v>1.25</v>
      </c>
      <c r="F22" s="110">
        <v>0.7</v>
      </c>
    </row>
    <row r="23" spans="1:6" x14ac:dyDescent="0.2">
      <c r="A23" s="127" t="s">
        <v>69</v>
      </c>
      <c r="B23" s="128">
        <v>6.6</v>
      </c>
      <c r="C23" s="110">
        <v>2.4</v>
      </c>
      <c r="D23" s="110">
        <v>5.8</v>
      </c>
      <c r="E23" s="128">
        <v>1.25</v>
      </c>
      <c r="F23" s="110">
        <v>0.3</v>
      </c>
    </row>
    <row r="24" spans="1:6" x14ac:dyDescent="0.2">
      <c r="A24" s="127" t="s">
        <v>70</v>
      </c>
      <c r="B24" s="128">
        <v>3.3</v>
      </c>
      <c r="C24" s="110">
        <v>1.2</v>
      </c>
      <c r="D24" s="110">
        <v>2.9</v>
      </c>
      <c r="E24" s="128">
        <v>1.25</v>
      </c>
      <c r="F24" s="110">
        <v>0.3</v>
      </c>
    </row>
    <row r="25" spans="1:6" x14ac:dyDescent="0.2">
      <c r="A25" s="127" t="s">
        <v>72</v>
      </c>
      <c r="B25" s="128">
        <v>7.3</v>
      </c>
      <c r="C25" s="110">
        <v>3</v>
      </c>
      <c r="D25" s="110">
        <v>5.75</v>
      </c>
      <c r="E25" s="128">
        <v>1.25</v>
      </c>
      <c r="F25" s="110">
        <v>0.45</v>
      </c>
    </row>
    <row r="26" spans="1:6" x14ac:dyDescent="0.2">
      <c r="A26" s="127" t="s">
        <v>74</v>
      </c>
      <c r="B26" s="128">
        <v>10.6</v>
      </c>
      <c r="C26" s="110">
        <v>4.4000000000000004</v>
      </c>
      <c r="D26" s="110">
        <v>8.3800000000000008</v>
      </c>
      <c r="E26" s="128">
        <v>1.25</v>
      </c>
      <c r="F26" s="110">
        <v>0.7</v>
      </c>
    </row>
    <row r="27" spans="1:6" x14ac:dyDescent="0.2">
      <c r="A27" s="127" t="s">
        <v>67</v>
      </c>
      <c r="B27" s="128">
        <v>7.3</v>
      </c>
      <c r="C27" s="110">
        <v>3</v>
      </c>
      <c r="D27" s="110">
        <v>5.75</v>
      </c>
      <c r="E27" s="128">
        <v>1.25</v>
      </c>
      <c r="F27" s="110">
        <v>0.3</v>
      </c>
    </row>
    <row r="28" spans="1:6" x14ac:dyDescent="0.2">
      <c r="A28" s="127" t="s">
        <v>68</v>
      </c>
      <c r="B28" s="128">
        <v>3.5</v>
      </c>
      <c r="C28" s="110">
        <v>1.4</v>
      </c>
      <c r="D28" s="110">
        <v>2.75</v>
      </c>
      <c r="E28" s="128">
        <v>1.25</v>
      </c>
      <c r="F28" s="110">
        <v>0.3</v>
      </c>
    </row>
    <row r="29" spans="1:6" x14ac:dyDescent="0.2">
      <c r="A29" s="127" t="s">
        <v>75</v>
      </c>
      <c r="B29" s="130">
        <v>5.5</v>
      </c>
      <c r="C29" s="129">
        <v>0.5</v>
      </c>
      <c r="D29" s="110">
        <v>5.75</v>
      </c>
      <c r="E29" s="128">
        <v>1.25</v>
      </c>
      <c r="F29" s="110">
        <v>0.3</v>
      </c>
    </row>
    <row r="30" spans="1:6" x14ac:dyDescent="0.2">
      <c r="A30" s="127" t="s">
        <v>76</v>
      </c>
      <c r="B30" s="130">
        <v>2.5</v>
      </c>
      <c r="C30" s="129">
        <v>0.6</v>
      </c>
      <c r="D30" s="110">
        <v>2.35</v>
      </c>
      <c r="E30" s="128">
        <v>1.25</v>
      </c>
      <c r="F30" s="110">
        <v>0.3</v>
      </c>
    </row>
    <row r="31" spans="1:6" x14ac:dyDescent="0.2">
      <c r="A31" s="127" t="s">
        <v>77</v>
      </c>
      <c r="B31" s="130">
        <v>4</v>
      </c>
      <c r="C31" s="129">
        <v>0.5</v>
      </c>
      <c r="D31" s="110">
        <v>0.42299999999999999</v>
      </c>
      <c r="E31" s="128">
        <v>1.25</v>
      </c>
      <c r="F31" s="110">
        <v>0.3</v>
      </c>
    </row>
    <row r="32" spans="1:6" x14ac:dyDescent="0.2">
      <c r="A32" s="131" t="s">
        <v>14</v>
      </c>
      <c r="B32" s="128"/>
      <c r="C32" s="110"/>
      <c r="D32" s="110"/>
      <c r="E32" s="128"/>
      <c r="F32" s="110"/>
    </row>
    <row r="33" spans="1:6" x14ac:dyDescent="0.2">
      <c r="A33" s="127" t="s">
        <v>78</v>
      </c>
      <c r="B33" s="128">
        <v>4.75</v>
      </c>
      <c r="C33" s="129">
        <v>1.95</v>
      </c>
      <c r="D33" s="110">
        <v>3.85</v>
      </c>
      <c r="E33" s="128">
        <v>1.1000000000000001</v>
      </c>
      <c r="F33" s="110">
        <v>0.3</v>
      </c>
    </row>
    <row r="34" spans="1:6" x14ac:dyDescent="0.2">
      <c r="A34" s="127" t="s">
        <v>79</v>
      </c>
      <c r="B34" s="128">
        <v>4.95</v>
      </c>
      <c r="C34" s="129">
        <v>2.0499999999999998</v>
      </c>
      <c r="D34" s="110">
        <v>3.96</v>
      </c>
      <c r="E34" s="128">
        <v>1.1000000000000001</v>
      </c>
      <c r="F34" s="110">
        <v>0.3</v>
      </c>
    </row>
    <row r="35" spans="1:6" x14ac:dyDescent="0.2">
      <c r="A35" s="127" t="s">
        <v>80</v>
      </c>
      <c r="B35" s="128">
        <v>5.15</v>
      </c>
      <c r="C35" s="129">
        <v>2.15</v>
      </c>
      <c r="D35" s="110">
        <v>4.07</v>
      </c>
      <c r="E35" s="128">
        <v>1.1000000000000001</v>
      </c>
      <c r="F35" s="110">
        <v>0.3</v>
      </c>
    </row>
    <row r="36" spans="1:6" x14ac:dyDescent="0.2">
      <c r="A36" s="127" t="s">
        <v>38</v>
      </c>
      <c r="B36" s="128">
        <v>0.7</v>
      </c>
      <c r="C36" s="110">
        <v>0.4</v>
      </c>
      <c r="D36" s="110">
        <v>0.40699999999999997</v>
      </c>
      <c r="E36" s="128">
        <v>1.1000000000000001</v>
      </c>
      <c r="F36" s="110">
        <v>0.02</v>
      </c>
    </row>
    <row r="37" spans="1:6" x14ac:dyDescent="0.2">
      <c r="A37" s="127" t="s">
        <v>94</v>
      </c>
      <c r="B37" s="128">
        <v>1.92</v>
      </c>
      <c r="C37" s="129">
        <v>0.72</v>
      </c>
      <c r="D37" s="110">
        <v>1.518</v>
      </c>
      <c r="E37" s="128">
        <v>1.1000000000000001</v>
      </c>
      <c r="F37" s="110">
        <v>0.13</v>
      </c>
    </row>
    <row r="38" spans="1:6" x14ac:dyDescent="0.2">
      <c r="A38" s="127" t="s">
        <v>81</v>
      </c>
      <c r="B38" s="128">
        <v>2.62</v>
      </c>
      <c r="C38" s="129">
        <v>1.1200000000000001</v>
      </c>
      <c r="D38" s="110">
        <v>2.0459999999999998</v>
      </c>
      <c r="E38" s="128">
        <v>1.1000000000000001</v>
      </c>
      <c r="F38" s="110">
        <v>0.3</v>
      </c>
    </row>
    <row r="39" spans="1:6" x14ac:dyDescent="0.2">
      <c r="A39" s="127" t="s">
        <v>82</v>
      </c>
      <c r="B39" s="128">
        <v>3.72</v>
      </c>
      <c r="C39" s="110">
        <v>1.62</v>
      </c>
      <c r="D39" s="110">
        <v>2.706</v>
      </c>
      <c r="E39" s="128">
        <v>1.1000000000000001</v>
      </c>
      <c r="F39" s="110">
        <v>0.3</v>
      </c>
    </row>
    <row r="40" spans="1:6" x14ac:dyDescent="0.2">
      <c r="A40" s="131" t="s">
        <v>14</v>
      </c>
      <c r="B40" s="128"/>
      <c r="C40" s="129"/>
      <c r="D40" s="110"/>
      <c r="E40" s="128"/>
      <c r="F40" s="110"/>
    </row>
    <row r="41" spans="1:6" x14ac:dyDescent="0.2">
      <c r="A41" s="127" t="s">
        <v>83</v>
      </c>
      <c r="B41" s="128">
        <v>1.62</v>
      </c>
      <c r="C41" s="129">
        <v>0.72</v>
      </c>
      <c r="D41" s="110">
        <v>1.1879999999999999</v>
      </c>
      <c r="E41" s="128">
        <v>1.1000000000000001</v>
      </c>
      <c r="F41" s="110">
        <v>0.14000000000000001</v>
      </c>
    </row>
    <row r="42" spans="1:6" x14ac:dyDescent="0.2">
      <c r="A42" s="127" t="s">
        <v>84</v>
      </c>
      <c r="B42" s="128">
        <v>1.32</v>
      </c>
      <c r="C42" s="129">
        <v>0.72</v>
      </c>
      <c r="D42" s="110">
        <v>1.1879999999999999</v>
      </c>
      <c r="E42" s="128">
        <v>1.1000000000000001</v>
      </c>
      <c r="F42" s="110">
        <v>0.14000000000000001</v>
      </c>
    </row>
    <row r="43" spans="1:6" x14ac:dyDescent="0.2">
      <c r="A43" s="127" t="s">
        <v>85</v>
      </c>
      <c r="B43" s="128">
        <v>1.92</v>
      </c>
      <c r="C43" s="110"/>
      <c r="D43" s="110"/>
      <c r="E43" s="128"/>
      <c r="F43" s="110">
        <v>0.14000000000000001</v>
      </c>
    </row>
    <row r="44" spans="1:6" x14ac:dyDescent="0.2">
      <c r="A44" s="131" t="s">
        <v>14</v>
      </c>
      <c r="B44" s="128"/>
      <c r="C44" s="110"/>
      <c r="D44" s="110"/>
      <c r="E44" s="128"/>
      <c r="F44" s="110"/>
    </row>
    <row r="45" spans="1:6" x14ac:dyDescent="0.2">
      <c r="A45" s="128" t="s">
        <v>105</v>
      </c>
      <c r="B45" s="128"/>
      <c r="C45" s="110"/>
      <c r="D45" s="110">
        <v>4.3999999999999997E-2</v>
      </c>
      <c r="E45" s="128">
        <v>2</v>
      </c>
      <c r="F45" s="110">
        <v>4.0000000000000001E-3</v>
      </c>
    </row>
    <row r="46" spans="1:6" x14ac:dyDescent="0.2">
      <c r="A46" s="128" t="s">
        <v>15</v>
      </c>
      <c r="B46" s="128"/>
      <c r="C46" s="129"/>
      <c r="D46" s="110">
        <v>1.4E-2</v>
      </c>
      <c r="E46" s="128">
        <v>2</v>
      </c>
      <c r="F46" s="110">
        <v>4.0000000000000001E-3</v>
      </c>
    </row>
    <row r="47" spans="1:6" x14ac:dyDescent="0.2">
      <c r="A47" s="131" t="s">
        <v>14</v>
      </c>
      <c r="B47" s="128"/>
      <c r="C47" s="129"/>
      <c r="D47" s="110"/>
      <c r="E47" s="128"/>
      <c r="F47" s="110"/>
    </row>
    <row r="48" spans="1:6" x14ac:dyDescent="0.2">
      <c r="A48" s="128" t="s">
        <v>100</v>
      </c>
      <c r="B48" s="128"/>
      <c r="C48" s="110"/>
      <c r="D48" s="110">
        <v>2.3599999999999999E-2</v>
      </c>
      <c r="E48" s="128">
        <v>2</v>
      </c>
      <c r="F48" s="110">
        <v>4.0000000000000001E-3</v>
      </c>
    </row>
    <row r="49" spans="1:6" x14ac:dyDescent="0.2">
      <c r="A49" s="128" t="s">
        <v>101</v>
      </c>
      <c r="B49" s="128"/>
      <c r="C49" s="110"/>
      <c r="D49" s="110">
        <v>2.2200000000000001E-2</v>
      </c>
      <c r="E49" s="128">
        <v>2</v>
      </c>
      <c r="F49" s="110">
        <v>4.0000000000000001E-3</v>
      </c>
    </row>
    <row r="50" spans="1:6" x14ac:dyDescent="0.2">
      <c r="A50" s="128" t="s">
        <v>102</v>
      </c>
      <c r="B50" s="128"/>
      <c r="C50" s="110"/>
      <c r="D50" s="110">
        <v>0.02</v>
      </c>
      <c r="E50" s="128">
        <v>2</v>
      </c>
      <c r="F50" s="110">
        <v>4.0000000000000001E-3</v>
      </c>
    </row>
    <row r="51" spans="1:6" x14ac:dyDescent="0.2">
      <c r="A51" s="128" t="s">
        <v>103</v>
      </c>
      <c r="B51" s="128"/>
      <c r="C51" s="110"/>
      <c r="D51" s="110">
        <v>1.8599999999999998E-2</v>
      </c>
      <c r="E51" s="128">
        <v>2</v>
      </c>
      <c r="F51" s="110">
        <v>4.0000000000000001E-3</v>
      </c>
    </row>
    <row r="52" spans="1:6" x14ac:dyDescent="0.2">
      <c r="A52" s="128" t="s">
        <v>104</v>
      </c>
      <c r="B52" s="128"/>
      <c r="C52" s="110"/>
      <c r="D52" s="110">
        <v>4.3999999999999997E-2</v>
      </c>
      <c r="E52" s="128">
        <v>2</v>
      </c>
      <c r="F52" s="110">
        <v>4.0000000000000001E-3</v>
      </c>
    </row>
    <row r="53" spans="1:6" x14ac:dyDescent="0.2">
      <c r="A53" s="131" t="s">
        <v>14</v>
      </c>
      <c r="B53" s="128"/>
      <c r="C53" s="110"/>
      <c r="D53" s="110"/>
      <c r="E53" s="128"/>
      <c r="F53" s="110"/>
    </row>
    <row r="54" spans="1:6" x14ac:dyDescent="0.2">
      <c r="A54" s="128" t="s">
        <v>106</v>
      </c>
      <c r="B54" s="128"/>
      <c r="C54" s="110"/>
      <c r="D54" s="110">
        <v>0.121</v>
      </c>
      <c r="E54" s="128">
        <v>2.5</v>
      </c>
      <c r="F54" s="110">
        <v>4.0000000000000001E-3</v>
      </c>
    </row>
    <row r="55" spans="1:6" x14ac:dyDescent="0.2">
      <c r="A55" s="128" t="s">
        <v>107</v>
      </c>
      <c r="B55" s="128"/>
      <c r="C55" s="110"/>
      <c r="D55" s="110">
        <v>0.126</v>
      </c>
      <c r="E55" s="128">
        <v>2.5</v>
      </c>
      <c r="F55" s="110">
        <v>4.0000000000000001E-3</v>
      </c>
    </row>
    <row r="56" spans="1:6" x14ac:dyDescent="0.2">
      <c r="A56" s="128" t="s">
        <v>108</v>
      </c>
      <c r="B56" s="128"/>
      <c r="C56" s="110"/>
      <c r="D56" s="110">
        <v>0.1525</v>
      </c>
      <c r="E56" s="128">
        <v>2.5</v>
      </c>
      <c r="F56" s="110">
        <v>4.0000000000000001E-3</v>
      </c>
    </row>
    <row r="57" spans="1:6" x14ac:dyDescent="0.2">
      <c r="A57" s="128" t="s">
        <v>109</v>
      </c>
      <c r="B57" s="128"/>
      <c r="C57" s="110"/>
      <c r="D57" s="110">
        <v>0.15</v>
      </c>
      <c r="E57" s="128">
        <v>2.5</v>
      </c>
      <c r="F57" s="110">
        <v>4.0000000000000001E-3</v>
      </c>
    </row>
    <row r="58" spans="1:6" x14ac:dyDescent="0.2">
      <c r="A58" s="128" t="s">
        <v>110</v>
      </c>
      <c r="B58" s="128"/>
      <c r="C58" s="110"/>
      <c r="D58" s="110">
        <v>3.3000000000000002E-2</v>
      </c>
      <c r="E58" s="128">
        <v>2.5</v>
      </c>
      <c r="F58" s="110">
        <v>4.0000000000000001E-3</v>
      </c>
    </row>
    <row r="59" spans="1:6" x14ac:dyDescent="0.2">
      <c r="A59" s="131" t="s">
        <v>14</v>
      </c>
      <c r="B59" s="128"/>
      <c r="C59" s="110"/>
      <c r="D59" s="110"/>
      <c r="E59" s="128"/>
      <c r="F59" s="110"/>
    </row>
    <row r="60" spans="1:6" x14ac:dyDescent="0.2">
      <c r="A60" s="128" t="s">
        <v>111</v>
      </c>
      <c r="B60" s="128"/>
      <c r="C60" s="110"/>
      <c r="D60" s="110">
        <v>22.4</v>
      </c>
      <c r="E60" s="128">
        <v>2</v>
      </c>
      <c r="F60" s="110">
        <v>1.1000000000000001</v>
      </c>
    </row>
    <row r="61" spans="1:6" x14ac:dyDescent="0.2">
      <c r="A61" s="128" t="s">
        <v>112</v>
      </c>
      <c r="B61" s="128"/>
      <c r="C61" s="110"/>
      <c r="D61" s="110">
        <v>22.4</v>
      </c>
      <c r="E61" s="128">
        <v>2</v>
      </c>
      <c r="F61" s="110">
        <v>1.25</v>
      </c>
    </row>
    <row r="62" spans="1:6" x14ac:dyDescent="0.2">
      <c r="A62" s="128" t="s">
        <v>113</v>
      </c>
      <c r="B62" s="128"/>
      <c r="C62" s="110"/>
      <c r="D62" s="110">
        <v>13.6</v>
      </c>
      <c r="E62" s="128">
        <v>2</v>
      </c>
      <c r="F62" s="110">
        <v>0.7</v>
      </c>
    </row>
    <row r="63" spans="1:6" x14ac:dyDescent="0.2">
      <c r="A63" s="128" t="s">
        <v>114</v>
      </c>
      <c r="B63" s="128"/>
      <c r="C63" s="110"/>
      <c r="D63" s="110">
        <v>13.6</v>
      </c>
      <c r="E63" s="128">
        <v>2</v>
      </c>
      <c r="F63" s="110">
        <v>0.7</v>
      </c>
    </row>
    <row r="64" spans="1:6" x14ac:dyDescent="0.2">
      <c r="A64" s="131" t="s">
        <v>14</v>
      </c>
      <c r="B64" s="128"/>
      <c r="C64" s="110"/>
      <c r="D64" s="110"/>
      <c r="E64" s="128"/>
      <c r="F64" s="110"/>
    </row>
    <row r="65" spans="1:6" x14ac:dyDescent="0.2">
      <c r="A65" s="128" t="s">
        <v>115</v>
      </c>
      <c r="B65" s="128"/>
      <c r="C65" s="110"/>
      <c r="D65" s="110">
        <v>1.65</v>
      </c>
      <c r="E65" s="128">
        <v>1.5</v>
      </c>
      <c r="F65" s="110">
        <v>0.18</v>
      </c>
    </row>
    <row r="66" spans="1:6" x14ac:dyDescent="0.2">
      <c r="A66" s="128" t="s">
        <v>116</v>
      </c>
      <c r="B66" s="128"/>
      <c r="C66" s="110"/>
      <c r="D66" s="110">
        <v>1.65</v>
      </c>
      <c r="E66" s="128">
        <v>1.5</v>
      </c>
      <c r="F66" s="110">
        <v>0.16</v>
      </c>
    </row>
    <row r="67" spans="1:6" x14ac:dyDescent="0.2">
      <c r="A67" s="131" t="s">
        <v>14</v>
      </c>
      <c r="B67" s="128"/>
      <c r="C67" s="110"/>
      <c r="D67" s="110"/>
      <c r="E67" s="128"/>
      <c r="F67" s="110"/>
    </row>
    <row r="68" spans="1:6" x14ac:dyDescent="0.2">
      <c r="A68" s="37" t="s">
        <v>117</v>
      </c>
      <c r="B68" s="37"/>
      <c r="C68" s="88"/>
      <c r="D68" s="88">
        <v>1.5</v>
      </c>
      <c r="E68" s="37">
        <v>1.5</v>
      </c>
      <c r="F68" s="88">
        <v>0.18</v>
      </c>
    </row>
    <row r="69" spans="1:6" x14ac:dyDescent="0.2">
      <c r="A69" s="35"/>
      <c r="B69" s="35"/>
      <c r="C69" s="35"/>
      <c r="D69" s="35"/>
      <c r="E69" s="35"/>
      <c r="F69" s="35"/>
    </row>
  </sheetData>
  <sheetProtection algorithmName="SHA-512" hashValue="l9kXaydq2MigQWgy6KfXryTrbg7M9hQpGP4l2OYffK2qMeB7zHZ73tgWq9X6RAnT0OdMR78fff72EfClw2LL3A==" saltValue="mi8hxrvG3wz4UIs3TlBrmw==" spinCount="100000" sheet="1" selectLockedCells="1" selectUnlockedCells="1"/>
  <mergeCells count="1">
    <mergeCell ref="B1:D1"/>
  </mergeCells>
  <pageMargins left="0.70866141732283472" right="0.31496062992125984" top="0.78740157480314965" bottom="0.3937007874015748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8</vt:i4>
      </vt:variant>
    </vt:vector>
  </HeadingPairs>
  <TitlesOfParts>
    <vt:vector size="14" baseType="lpstr">
      <vt:lpstr>GV-Berechnung-Gülleanfall</vt:lpstr>
      <vt:lpstr>Mist- Trockenkotanfall</vt:lpstr>
      <vt:lpstr>förderfähiger Anteil</vt:lpstr>
      <vt:lpstr>Finanzierungsplan</vt:lpstr>
      <vt:lpstr>Ranking</vt:lpstr>
      <vt:lpstr>Stammdaten-Tierhaltung</vt:lpstr>
      <vt:lpstr>'Stammdaten-Tierhaltung'!Drucktitel</vt:lpstr>
      <vt:lpstr>Gülleanfall</vt:lpstr>
      <vt:lpstr>GVE</vt:lpstr>
      <vt:lpstr>Jaucheanfall</vt:lpstr>
      <vt:lpstr>Mistanfall</vt:lpstr>
      <vt:lpstr>MistDichte</vt:lpstr>
      <vt:lpstr>Tierart</vt:lpstr>
      <vt:lpstr>Weide</vt:lpstr>
    </vt:vector>
  </TitlesOfParts>
  <Manager>Harald Harms</Manager>
  <Company>Lwk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GV-Berechnung</dc:title>
  <dc:subject>Berechnung der GV und Anfall der Exkremente (Gülle und Festmist) im AFP ab 2003</dc:subject>
  <dc:creator>Harald Harms</dc:creator>
  <cp:lastModifiedBy>Harald Harms</cp:lastModifiedBy>
  <cp:lastPrinted>2020-11-11T13:57:13Z</cp:lastPrinted>
  <dcterms:created xsi:type="dcterms:W3CDTF">2000-02-24T10:27:48Z</dcterms:created>
  <dcterms:modified xsi:type="dcterms:W3CDTF">2020-11-16T07:44:58Z</dcterms:modified>
</cp:coreProperties>
</file>